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13.xml" ContentType="application/vnd.openxmlformats-officedocument.drawingml.chartshapes+xml"/>
  <Override PartName="/xl/charts/chart16.xml" ContentType="application/vnd.openxmlformats-officedocument.drawingml.chart+xml"/>
  <Override PartName="/xl/drawings/drawing14.xml" ContentType="application/vnd.openxmlformats-officedocument.drawingml.chartshapes+xml"/>
  <Override PartName="/xl/charts/chart17.xml" ContentType="application/vnd.openxmlformats-officedocument.drawingml.chart+xml"/>
  <Override PartName="/xl/drawings/drawing15.xml" ContentType="application/vnd.openxmlformats-officedocument.drawingml.chartshapes+xml"/>
  <Override PartName="/xl/charts/chart18.xml" ContentType="application/vnd.openxmlformats-officedocument.drawingml.chart+xml"/>
  <Override PartName="/xl/drawings/drawing16.xml" ContentType="application/vnd.openxmlformats-officedocument.drawingml.chartshapes+xml"/>
  <Override PartName="/xl/charts/chart19.xml" ContentType="application/vnd.openxmlformats-officedocument.drawingml.chart+xml"/>
  <Override PartName="/xl/drawings/drawing17.xml" ContentType="application/vnd.openxmlformats-officedocument.drawingml.chartshapes+xml"/>
  <Override PartName="/xl/charts/chart20.xml" ContentType="application/vnd.openxmlformats-officedocument.drawingml.chart+xml"/>
  <Override PartName="/xl/drawings/drawing18.xml" ContentType="application/vnd.openxmlformats-officedocument.drawingml.chartshapes+xml"/>
  <Override PartName="/xl/comments2.xml" ContentType="application/vnd.openxmlformats-officedocument.spreadsheetml.comments+xml"/>
  <Override PartName="/xl/comments3.xml" ContentType="application/vnd.openxmlformats-officedocument.spreadsheetml.comments+xml"/>
  <Override PartName="/xl/drawings/drawing1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kfs01sec\s0502\common(庁内限定)\04_計画書審査グループ\01_計画書審査\02_建築物温暖化対策計画書制度\01 制度運用\★CASBEE評価ソフト\2016ver.3.0\HP掲載\"/>
    </mc:Choice>
  </mc:AlternateContent>
  <bookViews>
    <workbookView xWindow="0" yWindow="0" windowWidth="28800" windowHeight="12140" firstSheet="1" activeTab="1"/>
  </bookViews>
  <sheets>
    <sheet name="結果_IS" sheetId="21" state="hidden" r:id="rId1"/>
    <sheet name="メイン" sheetId="2" r:id="rId2"/>
    <sheet name="結果" sheetId="4" r:id="rId3"/>
    <sheet name="スコア" sheetId="5" r:id="rId4"/>
    <sheet name="配慮" sheetId="7" r:id="rId5"/>
    <sheet name="係数" sheetId="3" r:id="rId6"/>
    <sheet name="採点Q1" sheetId="8" r:id="rId7"/>
    <sheet name="採点Q2" sheetId="9" r:id="rId8"/>
    <sheet name="採点Q3" sheetId="10" r:id="rId9"/>
    <sheet name="採点LR1" sheetId="11" r:id="rId10"/>
    <sheet name="計画書" sheetId="20" r:id="rId11"/>
    <sheet name="採点LR2" sheetId="13" r:id="rId12"/>
    <sheet name="採点LR3" sheetId="14" r:id="rId13"/>
    <sheet name="CO2計算" sheetId="6" r:id="rId14"/>
    <sheet name="条件(標準)" sheetId="16" r:id="rId15"/>
    <sheet name="条件(個別)" sheetId="17" r:id="rId16"/>
    <sheet name="重み" sheetId="18" r:id="rId17"/>
    <sheet name="CO2データ" sheetId="15" r:id="rId18"/>
    <sheet name="クレジット" sheetId="19" r:id="rId19"/>
  </sheets>
  <definedNames>
    <definedName name="_xlnm._FilterDatabase" localSheetId="6" hidden="1">採点Q1!#REF!</definedName>
    <definedName name="_xlnm.Print_Area" localSheetId="17">CO2データ!$A$1:$R$317</definedName>
    <definedName name="_xlnm.Print_Area" localSheetId="13">CO2計算!$B$1:$Z$178</definedName>
    <definedName name="_xlnm.Print_Area" localSheetId="18">クレジット!$A$1:$S$37</definedName>
    <definedName name="_xlnm.Print_Area" localSheetId="3">スコア!$A$1:$T$195</definedName>
    <definedName name="_xlnm.Print_Area" localSheetId="1">メイン!$A$1:$G$72</definedName>
    <definedName name="_xlnm.Print_Area" localSheetId="5">係数!$A$1:$N$87</definedName>
    <definedName name="_xlnm.Print_Area" localSheetId="10">計画書!$A$1:$Q$129</definedName>
    <definedName name="_xlnm.Print_Area" localSheetId="2">結果!$A$1:$P$98</definedName>
    <definedName name="_xlnm.Print_Area" localSheetId="0">結果_IS!$A$1:$P$98</definedName>
    <definedName name="_xlnm.Print_Area" localSheetId="9">採点LR1!$C$1:$P$137</definedName>
    <definedName name="_xlnm.Print_Area" localSheetId="11">採点LR2!$C$1:$P$325</definedName>
    <definedName name="_xlnm.Print_Area" localSheetId="12">採点LR3!$D$1:$P$239</definedName>
    <definedName name="_xlnm.Print_Area" localSheetId="6">採点Q1!$D$1:$P$442</definedName>
    <definedName name="_xlnm.Print_Area" localSheetId="7">採点Q2!$C$1:$P$429</definedName>
    <definedName name="_xlnm.Print_Area" localSheetId="8">採点Q3!$1:$112</definedName>
    <definedName name="_xlnm.Print_Area" localSheetId="16">重み!$A$1:$AE$194</definedName>
    <definedName name="_xlnm.Print_Area" localSheetId="15">'条件(個別)'!$A$1:$F$90</definedName>
    <definedName name="_xlnm.Print_Titles" localSheetId="16">重み!$5:$6</definedName>
    <definedName name="Z_047384A4_E844_4BB4_B522_1CE13C4699E4_.wvu.Cols" localSheetId="17" hidden="1">CO2データ!$G:$H,CO2データ!$S:$IV</definedName>
    <definedName name="Z_047384A4_E844_4BB4_B522_1CE13C4699E4_.wvu.Cols" localSheetId="13" hidden="1">CO2計算!$Q:$IV</definedName>
    <definedName name="Z_047384A4_E844_4BB4_B522_1CE13C4699E4_.wvu.Cols" localSheetId="18" hidden="1">クレジット!$T:$IV</definedName>
    <definedName name="Z_047384A4_E844_4BB4_B522_1CE13C4699E4_.wvu.Cols" localSheetId="3" hidden="1">スコア!$G:$G,スコア!$Y:$IZ</definedName>
    <definedName name="Z_047384A4_E844_4BB4_B522_1CE13C4699E4_.wvu.Cols" localSheetId="1" hidden="1">メイン!$I:$IV</definedName>
    <definedName name="Z_047384A4_E844_4BB4_B522_1CE13C4699E4_.wvu.Cols" localSheetId="9" hidden="1">採点LR1!$Q:$IV</definedName>
    <definedName name="Z_047384A4_E844_4BB4_B522_1CE13C4699E4_.wvu.Cols" localSheetId="11" hidden="1">採点LR2!$Q:$IW</definedName>
    <definedName name="Z_047384A4_E844_4BB4_B522_1CE13C4699E4_.wvu.Cols" localSheetId="12" hidden="1">採点LR3!$Q:$IV</definedName>
    <definedName name="Z_047384A4_E844_4BB4_B522_1CE13C4699E4_.wvu.Cols" localSheetId="6" hidden="1">採点Q1!$Q:$IV</definedName>
    <definedName name="Z_047384A4_E844_4BB4_B522_1CE13C4699E4_.wvu.Cols" localSheetId="7" hidden="1">採点Q2!$Q:$IV</definedName>
    <definedName name="Z_047384A4_E844_4BB4_B522_1CE13C4699E4_.wvu.Cols" localSheetId="8" hidden="1">採点Q3!$Q:$IV</definedName>
    <definedName name="Z_047384A4_E844_4BB4_B522_1CE13C4699E4_.wvu.Cols" localSheetId="16" hidden="1">重み!$Q:$Q,重み!$AY:$AY,重み!$BP:$BP,重み!$CG:$IW</definedName>
    <definedName name="Z_047384A4_E844_4BB4_B522_1CE13C4699E4_.wvu.Cols" localSheetId="15" hidden="1">'条件(個別)'!$H:$IV</definedName>
    <definedName name="Z_047384A4_E844_4BB4_B522_1CE13C4699E4_.wvu.Cols" localSheetId="14" hidden="1">'条件(標準)'!$H:$IV</definedName>
    <definedName name="Z_047384A4_E844_4BB4_B522_1CE13C4699E4_.wvu.Cols" localSheetId="4" hidden="1">配慮!$H:$IW</definedName>
    <definedName name="Z_047384A4_E844_4BB4_B522_1CE13C4699E4_.wvu.PrintArea" localSheetId="17" hidden="1">CO2データ!$A$1:$R$317</definedName>
    <definedName name="Z_047384A4_E844_4BB4_B522_1CE13C4699E4_.wvu.PrintArea" localSheetId="13" hidden="1">CO2計算!$B$1:$Z$178</definedName>
    <definedName name="Z_047384A4_E844_4BB4_B522_1CE13C4699E4_.wvu.PrintArea" localSheetId="18" hidden="1">クレジット!$A$1:$S$37</definedName>
    <definedName name="Z_047384A4_E844_4BB4_B522_1CE13C4699E4_.wvu.PrintArea" localSheetId="3" hidden="1">スコア!$A$1:$U$195</definedName>
    <definedName name="Z_047384A4_E844_4BB4_B522_1CE13C4699E4_.wvu.PrintArea" localSheetId="1" hidden="1">メイン!$A$1:$G$70</definedName>
    <definedName name="Z_047384A4_E844_4BB4_B522_1CE13C4699E4_.wvu.PrintArea" localSheetId="2" hidden="1">結果!$A$1:$P$98</definedName>
    <definedName name="Z_047384A4_E844_4BB4_B522_1CE13C4699E4_.wvu.PrintArea" localSheetId="0" hidden="1">結果_IS!$A$1:$P$98</definedName>
    <definedName name="Z_047384A4_E844_4BB4_B522_1CE13C4699E4_.wvu.PrintArea" localSheetId="9" hidden="1">採点LR1!$C$1:$P$136</definedName>
    <definedName name="Z_047384A4_E844_4BB4_B522_1CE13C4699E4_.wvu.PrintArea" localSheetId="11" hidden="1">採点LR2!$C$1:$P$298</definedName>
    <definedName name="Z_047384A4_E844_4BB4_B522_1CE13C4699E4_.wvu.PrintArea" localSheetId="12" hidden="1">採点LR3!$C$1:$P$240</definedName>
    <definedName name="Z_047384A4_E844_4BB4_B522_1CE13C4699E4_.wvu.PrintArea" localSheetId="6" hidden="1">採点Q1!$A$1:$P$443</definedName>
    <definedName name="Z_047384A4_E844_4BB4_B522_1CE13C4699E4_.wvu.PrintArea" localSheetId="7" hidden="1">採点Q2!$C$1:$P$429</definedName>
    <definedName name="Z_047384A4_E844_4BB4_B522_1CE13C4699E4_.wvu.PrintArea" localSheetId="8" hidden="1">採点Q3!$C$1:$P$133</definedName>
    <definedName name="Z_047384A4_E844_4BB4_B522_1CE13C4699E4_.wvu.PrintArea" localSheetId="16" hidden="1">重み!$A$1:$CD$194</definedName>
    <definedName name="Z_047384A4_E844_4BB4_B522_1CE13C4699E4_.wvu.PrintTitles" localSheetId="16" hidden="1">重み!$5:$6</definedName>
    <definedName name="Z_047384A4_E844_4BB4_B522_1CE13C4699E4_.wvu.Rows" localSheetId="17" hidden="1">CO2データ!$319:$65582,CO2データ!$6:$6,CO2データ!$10:$12,CO2データ!$16:$18,CO2データ!$22:$24,CO2データ!$28:$30,CO2データ!$34:$36,CO2データ!$40:$42,CO2データ!$46:$48,CO2データ!$52:$54,CO2データ!$58:$60,CO2データ!$66:$67,CO2データ!$69:$70,CO2データ!$72:$73,CO2データ!$75:$76,CO2データ!$78:$79,CO2データ!$81:$82,CO2データ!$84:$85,CO2データ!$87:$88,CO2データ!$90:$91,CO2データ!$228:$228,CO2データ!#REF!,CO2データ!#REF!,CO2データ!#REF!,CO2データ!$309:$309,CO2データ!$318:$318</definedName>
    <definedName name="Z_047384A4_E844_4BB4_B522_1CE13C4699E4_.wvu.Rows" localSheetId="13" hidden="1">CO2計算!$174:$65538,CO2計算!$26:$99,CO2計算!$138:$173</definedName>
    <definedName name="Z_047384A4_E844_4BB4_B522_1CE13C4699E4_.wvu.Rows" localSheetId="18" hidden="1">クレジット!$39:$65536,クレジット!$38:$38</definedName>
    <definedName name="Z_047384A4_E844_4BB4_B522_1CE13C4699E4_.wvu.Rows" localSheetId="3" hidden="1">スコア!$196:$65550,スコア!$33:$34,スコア!$77:$77,スコア!$90:$92,スコア!$99:$99,スコア!$120:$120,スコア!$125:$126,スコア!$130:$137</definedName>
    <definedName name="Z_047384A4_E844_4BB4_B522_1CE13C4699E4_.wvu.Rows" localSheetId="1" hidden="1">メイン!$108:$65536,メイン!$89:$107</definedName>
    <definedName name="Z_047384A4_E844_4BB4_B522_1CE13C4699E4_.wvu.Rows" localSheetId="2" hidden="1">結果!$216:$65537,結果!$18:$21,結果!$72:$93,結果!$99:$215</definedName>
    <definedName name="Z_047384A4_E844_4BB4_B522_1CE13C4699E4_.wvu.Rows" localSheetId="0" hidden="1">結果_IS!$216:$65537,結果_IS!$18:$21,結果_IS!$72:$93,結果_IS!$99:$215</definedName>
    <definedName name="Z_047384A4_E844_4BB4_B522_1CE13C4699E4_.wvu.Rows" localSheetId="9" hidden="1">採点LR1!$298:$65524,採点LR1!#REF!,採点LR1!#REF!,採点LR1!$137:$296</definedName>
    <definedName name="Z_047384A4_E844_4BB4_B522_1CE13C4699E4_.wvu.Rows" localSheetId="11" hidden="1">採点LR2!$621:$65597,採点LR2!$257:$257,採点LR2!$299:$620</definedName>
    <definedName name="Z_047384A4_E844_4BB4_B522_1CE13C4699E4_.wvu.Rows" localSheetId="12" hidden="1">採点LR3!$241:$65537,採点LR3!#REF!,採点LR3!#REF!</definedName>
    <definedName name="Z_047384A4_E844_4BB4_B522_1CE13C4699E4_.wvu.Rows" localSheetId="6" hidden="1">採点Q1!$644:$65537,採点Q1!#REF!,採点Q1!$444:$643</definedName>
    <definedName name="Z_047384A4_E844_4BB4_B522_1CE13C4699E4_.wvu.Rows" localSheetId="7" hidden="1">採点Q2!$434:$65541,採点Q2!$168:$188,採点Q2!$228:$228,採点Q2!#REF!,採点Q2!$397:$421</definedName>
    <definedName name="Z_047384A4_E844_4BB4_B522_1CE13C4699E4_.wvu.Rows" localSheetId="8" hidden="1">採点Q3!$261:$65537,採点Q3!$113:$259</definedName>
    <definedName name="Z_047384A4_E844_4BB4_B522_1CE13C4699E4_.wvu.Rows" localSheetId="16" hidden="1">重み!$233:$65550,重み!$33:$34,重み!$99:$99,重み!$120:$120,重み!$137:$137,重み!$196:$232</definedName>
    <definedName name="Z_047384A4_E844_4BB4_B522_1CE13C4699E4_.wvu.Rows" localSheetId="15" hidden="1">'条件(個別)'!$73:$65536,'条件(個別)'!$37:$37</definedName>
    <definedName name="Z_047384A4_E844_4BB4_B522_1CE13C4699E4_.wvu.Rows" localSheetId="14" hidden="1">'条件(標準)'!$73:$65536,'条件(標準)'!$37:$37</definedName>
    <definedName name="Z_047384A4_E844_4BB4_B522_1CE13C4699E4_.wvu.Rows" localSheetId="4" hidden="1">配慮!$12:$65391,配慮!#REF!</definedName>
  </definedNames>
  <calcPr calcId="152511"/>
</workbook>
</file>

<file path=xl/calcChain.xml><?xml version="1.0" encoding="utf-8"?>
<calcChain xmlns="http://schemas.openxmlformats.org/spreadsheetml/2006/main">
  <c r="D4" i="7" l="1"/>
  <c r="CR123" i="18" l="1"/>
  <c r="CR124" i="18"/>
  <c r="CR125" i="18"/>
  <c r="CR126" i="18"/>
  <c r="CR127" i="18"/>
  <c r="CR128" i="18"/>
  <c r="CR129" i="18"/>
  <c r="CR130" i="18"/>
  <c r="CR131" i="18"/>
  <c r="CR132" i="18"/>
  <c r="CR133" i="18"/>
  <c r="CR134" i="18"/>
  <c r="CR135" i="18"/>
  <c r="CR136" i="18"/>
  <c r="CR137" i="18"/>
  <c r="CR138" i="18"/>
  <c r="F121" i="6" l="1"/>
  <c r="F120" i="6"/>
  <c r="O120" i="6" l="1"/>
  <c r="L120" i="6"/>
  <c r="O121" i="6"/>
  <c r="L121" i="6"/>
  <c r="U5" i="20"/>
  <c r="Y5" i="20"/>
  <c r="Z6" i="20"/>
  <c r="W8" i="20"/>
  <c r="X8" i="20" s="1"/>
  <c r="AA8" i="20"/>
  <c r="AB8" i="20" s="1"/>
  <c r="W9" i="20"/>
  <c r="X9" i="20" s="1"/>
  <c r="AA9" i="20"/>
  <c r="AB9" i="20" s="1"/>
  <c r="W10" i="20"/>
  <c r="X10" i="20" s="1"/>
  <c r="AA10" i="20"/>
  <c r="AB10" i="20"/>
  <c r="W11" i="20"/>
  <c r="X11" i="20" s="1"/>
  <c r="AA11" i="20"/>
  <c r="AB11" i="20"/>
  <c r="S97" i="20"/>
  <c r="S98" i="20"/>
  <c r="S99" i="20"/>
  <c r="S100" i="20"/>
  <c r="S101" i="20"/>
  <c r="S102" i="20"/>
  <c r="S103" i="20"/>
  <c r="S104" i="20"/>
  <c r="S105" i="20"/>
  <c r="S106" i="20"/>
  <c r="S107" i="20"/>
  <c r="S108" i="20"/>
  <c r="S109" i="20"/>
  <c r="S110" i="20"/>
  <c r="S111" i="20"/>
  <c r="S112" i="20"/>
  <c r="AA5" i="20" l="1"/>
  <c r="W5" i="20"/>
  <c r="X5" i="20"/>
  <c r="M6" i="20" s="1"/>
  <c r="AB5" i="20"/>
  <c r="N128" i="20" l="1"/>
  <c r="G92" i="20" l="1"/>
  <c r="L126" i="20" l="1"/>
  <c r="K126" i="20"/>
  <c r="P128" i="20"/>
  <c r="H127" i="20"/>
  <c r="H126" i="20" s="1"/>
  <c r="G47" i="20"/>
  <c r="G74" i="20" s="1"/>
  <c r="G56" i="20"/>
  <c r="G75" i="20" s="1"/>
  <c r="J76" i="20"/>
  <c r="H53" i="20" l="1"/>
  <c r="H54" i="20"/>
  <c r="H55" i="20"/>
  <c r="H44" i="20"/>
  <c r="J47" i="20" s="1"/>
  <c r="V44" i="20" s="1"/>
  <c r="H45" i="20"/>
  <c r="H46" i="20"/>
  <c r="N82" i="20"/>
  <c r="N83" i="20"/>
  <c r="N56" i="20" l="1"/>
  <c r="V57" i="20" s="1"/>
  <c r="J56" i="20"/>
  <c r="V53" i="20" s="1"/>
  <c r="M56" i="20"/>
  <c r="V56" i="20" s="1"/>
  <c r="K56" i="20"/>
  <c r="V54" i="20" s="1"/>
  <c r="W53" i="20" s="1"/>
  <c r="X53" i="20" s="1"/>
  <c r="L56" i="20"/>
  <c r="V55" i="20" s="1"/>
  <c r="H56" i="20"/>
  <c r="H47" i="20"/>
  <c r="D11" i="7"/>
  <c r="L66" i="4" s="1"/>
  <c r="D10" i="7"/>
  <c r="D9" i="7"/>
  <c r="H70" i="4" s="1"/>
  <c r="D8" i="7"/>
  <c r="B70" i="4" s="1"/>
  <c r="D7" i="7"/>
  <c r="L68" i="4" s="1"/>
  <c r="D6" i="7"/>
  <c r="D5" i="7"/>
  <c r="B68" i="4" s="1"/>
  <c r="B66" i="4"/>
  <c r="L70" i="4"/>
  <c r="H68" i="4"/>
  <c r="W55" i="20" l="1"/>
  <c r="X55" i="20" s="1"/>
  <c r="W54" i="20"/>
  <c r="X54" i="20" s="1"/>
  <c r="W56" i="20"/>
  <c r="X56" i="20" s="1"/>
  <c r="U51" i="20"/>
  <c r="CT158" i="18"/>
  <c r="CU158" i="18"/>
  <c r="CV158" i="18"/>
  <c r="DA158" i="18"/>
  <c r="CT159" i="18"/>
  <c r="CU159" i="18"/>
  <c r="CV159" i="18"/>
  <c r="DA159" i="18"/>
  <c r="CT160" i="18"/>
  <c r="CU160" i="18"/>
  <c r="CV160" i="18"/>
  <c r="DA160" i="18"/>
  <c r="CT161" i="18"/>
  <c r="CU161" i="18"/>
  <c r="CV161" i="18"/>
  <c r="DA161" i="18"/>
  <c r="CT162" i="18"/>
  <c r="CU162" i="18"/>
  <c r="CV162" i="18"/>
  <c r="DA162" i="18"/>
  <c r="CT163" i="18"/>
  <c r="CU163" i="18"/>
  <c r="CV163" i="18"/>
  <c r="DA163" i="18"/>
  <c r="CT164" i="18"/>
  <c r="CU164" i="18"/>
  <c r="CV164" i="18"/>
  <c r="DA164" i="18"/>
  <c r="CT165" i="18"/>
  <c r="CU165" i="18"/>
  <c r="CV165" i="18"/>
  <c r="DA165" i="18"/>
  <c r="W51" i="20" l="1"/>
  <c r="X51" i="20"/>
  <c r="V34" i="5"/>
  <c r="V33" i="5"/>
  <c r="R172" i="5"/>
  <c r="R145" i="5"/>
  <c r="R137" i="5"/>
  <c r="R136" i="5"/>
  <c r="R135" i="5"/>
  <c r="R134" i="5"/>
  <c r="R133" i="5"/>
  <c r="R132" i="5"/>
  <c r="R131" i="5"/>
  <c r="R130" i="5"/>
  <c r="R128" i="5"/>
  <c r="R127" i="5"/>
  <c r="R126" i="5"/>
  <c r="R125" i="5"/>
  <c r="R122" i="5"/>
  <c r="R120" i="5"/>
  <c r="R112" i="5"/>
  <c r="R99" i="5"/>
  <c r="R62" i="5"/>
  <c r="R58" i="5"/>
  <c r="R53" i="5"/>
  <c r="R52" i="5"/>
  <c r="R46" i="5"/>
  <c r="R45" i="5"/>
  <c r="R41" i="5"/>
  <c r="R29" i="5"/>
  <c r="R28" i="5"/>
  <c r="R27" i="5"/>
  <c r="R26" i="5"/>
  <c r="R23" i="5"/>
  <c r="R13" i="5"/>
  <c r="R12" i="5"/>
  <c r="O172" i="5"/>
  <c r="O145" i="5"/>
  <c r="O137" i="5"/>
  <c r="O136" i="5"/>
  <c r="O135" i="5"/>
  <c r="O134" i="5"/>
  <c r="O133" i="5"/>
  <c r="O132" i="5"/>
  <c r="O131" i="5"/>
  <c r="O130" i="5"/>
  <c r="O128" i="5"/>
  <c r="O127" i="5"/>
  <c r="O126" i="5"/>
  <c r="O125" i="5"/>
  <c r="O122" i="5"/>
  <c r="O120" i="5"/>
  <c r="O112" i="5"/>
  <c r="O99" i="5"/>
  <c r="O62" i="5"/>
  <c r="O58" i="5"/>
  <c r="O53" i="5"/>
  <c r="O52" i="5"/>
  <c r="O46" i="5"/>
  <c r="O45" i="5"/>
  <c r="O41" i="5"/>
  <c r="O29" i="5"/>
  <c r="O28" i="5"/>
  <c r="O27" i="5"/>
  <c r="O26" i="5"/>
  <c r="O23" i="5"/>
  <c r="O13" i="5"/>
  <c r="O12" i="5"/>
  <c r="I129" i="5"/>
  <c r="J129" i="5"/>
  <c r="DA32" i="18"/>
  <c r="V11" i="5"/>
  <c r="W11" i="5"/>
  <c r="Y3" i="5"/>
  <c r="Y182" i="5" l="1"/>
  <c r="O182" i="5" s="1"/>
  <c r="K182" i="18" s="1"/>
  <c r="AA34" i="5"/>
  <c r="R34" i="5" s="1"/>
  <c r="AA33" i="5"/>
  <c r="R33" i="5" s="1"/>
  <c r="AA92" i="5"/>
  <c r="R92" i="5" s="1"/>
  <c r="AA90" i="5"/>
  <c r="R90" i="5" s="1"/>
  <c r="Y34" i="5"/>
  <c r="O34" i="5" s="1"/>
  <c r="Y33" i="5"/>
  <c r="O33" i="5" s="1"/>
  <c r="AA91" i="5"/>
  <c r="R91" i="5" s="1"/>
  <c r="AA165" i="5"/>
  <c r="R165" i="5" s="1"/>
  <c r="L165" i="18" s="1"/>
  <c r="AA77" i="5"/>
  <c r="R77" i="5" s="1"/>
  <c r="AA180" i="5"/>
  <c r="R180" i="5" s="1"/>
  <c r="AA171" i="5"/>
  <c r="R171" i="5" s="1"/>
  <c r="AA163" i="5"/>
  <c r="R163" i="5" s="1"/>
  <c r="L163" i="18" s="1"/>
  <c r="AA161" i="5"/>
  <c r="R161" i="5" s="1"/>
  <c r="L161" i="18" s="1"/>
  <c r="AA159" i="5"/>
  <c r="R159" i="5" s="1"/>
  <c r="L159" i="18" s="1"/>
  <c r="AA164" i="5"/>
  <c r="R164" i="5" s="1"/>
  <c r="L164" i="18" s="1"/>
  <c r="AA162" i="5"/>
  <c r="R162" i="5" s="1"/>
  <c r="L162" i="18" s="1"/>
  <c r="AA160" i="5"/>
  <c r="R160" i="5" s="1"/>
  <c r="L160" i="18" s="1"/>
  <c r="AA111" i="5"/>
  <c r="R111" i="5" s="1"/>
  <c r="AA157" i="5"/>
  <c r="R157" i="5" s="1"/>
  <c r="AA86" i="5"/>
  <c r="R86" i="5" s="1"/>
  <c r="AA124" i="5"/>
  <c r="AA88" i="5"/>
  <c r="R88" i="5" s="1"/>
  <c r="AA143" i="5"/>
  <c r="R143" i="5" s="1"/>
  <c r="AA175" i="5"/>
  <c r="AA147" i="5"/>
  <c r="AA178" i="5"/>
  <c r="R178" i="5" s="1"/>
  <c r="AA61" i="5"/>
  <c r="R61" i="5" s="1"/>
  <c r="AA76" i="5"/>
  <c r="R76" i="5" s="1"/>
  <c r="AA119" i="5"/>
  <c r="R119" i="5" s="1"/>
  <c r="AA155" i="5"/>
  <c r="R155" i="5" s="1"/>
  <c r="AA81" i="5"/>
  <c r="R81" i="5" s="1"/>
  <c r="AA95" i="5"/>
  <c r="R95" i="5" s="1"/>
  <c r="AA107" i="5"/>
  <c r="R107" i="5" s="1"/>
  <c r="AA150" i="5"/>
  <c r="R150" i="5" s="1"/>
  <c r="AA169" i="5"/>
  <c r="AA84" i="5"/>
  <c r="R84" i="5" s="1"/>
  <c r="AA97" i="5"/>
  <c r="R97" i="5" s="1"/>
  <c r="AA109" i="5"/>
  <c r="R109" i="5" s="1"/>
  <c r="AA116" i="5"/>
  <c r="AA140" i="5"/>
  <c r="R140" i="5" s="1"/>
  <c r="AA153" i="5"/>
  <c r="R153" i="5" s="1"/>
  <c r="AA185" i="5"/>
  <c r="AA187" i="5"/>
  <c r="R187" i="5" s="1"/>
  <c r="AA190" i="5"/>
  <c r="R190" i="5" s="1"/>
  <c r="AA25" i="5"/>
  <c r="R25" i="5" s="1"/>
  <c r="AA115" i="5"/>
  <c r="R115" i="5" s="1"/>
  <c r="L115" i="18" s="1"/>
  <c r="AA182" i="5"/>
  <c r="R182" i="5" s="1"/>
  <c r="L182" i="18" s="1"/>
  <c r="AA194" i="5"/>
  <c r="R194" i="5" s="1"/>
  <c r="AA43" i="5"/>
  <c r="R43" i="5" s="1"/>
  <c r="AA60" i="5"/>
  <c r="R60" i="5" s="1"/>
  <c r="AA67" i="5"/>
  <c r="R67" i="5" s="1"/>
  <c r="AA71" i="5"/>
  <c r="R71" i="5" s="1"/>
  <c r="L71" i="18" s="1"/>
  <c r="AA75" i="5"/>
  <c r="R75" i="5" s="1"/>
  <c r="AA80" i="5"/>
  <c r="R80" i="5" s="1"/>
  <c r="AA83" i="5"/>
  <c r="R83" i="5" s="1"/>
  <c r="AA85" i="5"/>
  <c r="R85" i="5" s="1"/>
  <c r="AA87" i="5"/>
  <c r="R87" i="5" s="1"/>
  <c r="AA94" i="5"/>
  <c r="R94" i="5" s="1"/>
  <c r="AA96" i="5"/>
  <c r="R96" i="5" s="1"/>
  <c r="AA98" i="5"/>
  <c r="R98" i="5" s="1"/>
  <c r="AA106" i="5"/>
  <c r="R106" i="5" s="1"/>
  <c r="AA108" i="5"/>
  <c r="R108" i="5" s="1"/>
  <c r="AA110" i="5"/>
  <c r="R110" i="5" s="1"/>
  <c r="AA113" i="5"/>
  <c r="AA118" i="5"/>
  <c r="R118" i="5" s="1"/>
  <c r="AA123" i="5"/>
  <c r="AA129" i="5"/>
  <c r="AA141" i="5"/>
  <c r="R141" i="5" s="1"/>
  <c r="AA144" i="5"/>
  <c r="R144" i="5" s="1"/>
  <c r="AA149" i="5"/>
  <c r="AA152" i="5"/>
  <c r="R152" i="5" s="1"/>
  <c r="AA154" i="5"/>
  <c r="R154" i="5" s="1"/>
  <c r="AA156" i="5"/>
  <c r="R156" i="5" s="1"/>
  <c r="AA167" i="5"/>
  <c r="AA170" i="5"/>
  <c r="R170" i="5" s="1"/>
  <c r="AA173" i="5"/>
  <c r="R173" i="5" s="1"/>
  <c r="AA176" i="5"/>
  <c r="R176" i="5" s="1"/>
  <c r="AA179" i="5"/>
  <c r="R179" i="5" s="1"/>
  <c r="AA181" i="5"/>
  <c r="R181" i="5" s="1"/>
  <c r="AA186" i="5"/>
  <c r="R186" i="5" s="1"/>
  <c r="AA189" i="5"/>
  <c r="R189" i="5" s="1"/>
  <c r="AA191" i="5"/>
  <c r="R191" i="5" s="1"/>
  <c r="AA193" i="5"/>
  <c r="R193" i="5" s="1"/>
  <c r="AA70" i="5"/>
  <c r="R70" i="5" s="1"/>
  <c r="L70" i="18" s="1"/>
  <c r="AA73" i="5"/>
  <c r="R73" i="5" s="1"/>
  <c r="L73" i="18" s="1"/>
  <c r="BW57" i="18"/>
  <c r="BW55" i="18"/>
  <c r="BV57" i="18"/>
  <c r="BV55" i="18"/>
  <c r="BU57" i="18"/>
  <c r="BU55" i="18"/>
  <c r="BT57" i="18"/>
  <c r="BT55" i="18"/>
  <c r="CD57" i="18"/>
  <c r="CC57" i="18"/>
  <c r="CD56" i="18"/>
  <c r="CC56" i="18"/>
  <c r="CD55" i="18"/>
  <c r="CC55" i="18"/>
  <c r="CB57" i="18"/>
  <c r="CA57" i="18"/>
  <c r="BZ57" i="18"/>
  <c r="BY57" i="18"/>
  <c r="CB56" i="18"/>
  <c r="CA56" i="18"/>
  <c r="BZ56" i="18"/>
  <c r="BY56" i="18"/>
  <c r="CB55" i="18"/>
  <c r="CA55" i="18"/>
  <c r="BZ55" i="18"/>
  <c r="BY55" i="18"/>
  <c r="BS57" i="18"/>
  <c r="BS56" i="18"/>
  <c r="BS55" i="18"/>
  <c r="BR57" i="18"/>
  <c r="DA57" i="18" s="1"/>
  <c r="BR56" i="18"/>
  <c r="DA56" i="18" s="1"/>
  <c r="BR55" i="18"/>
  <c r="DA55" i="18" s="1"/>
  <c r="CC24" i="18"/>
  <c r="CC22" i="18"/>
  <c r="CB24" i="18"/>
  <c r="CB22" i="18"/>
  <c r="CD24" i="18"/>
  <c r="CD22" i="18"/>
  <c r="BX24" i="18"/>
  <c r="BX22" i="18"/>
  <c r="CA24" i="18"/>
  <c r="CA22" i="18"/>
  <c r="BZ25" i="18"/>
  <c r="BZ24" i="18"/>
  <c r="BZ22" i="18"/>
  <c r="BY25" i="18"/>
  <c r="BY24" i="18"/>
  <c r="BY22" i="18"/>
  <c r="BW25" i="18"/>
  <c r="BW24" i="18"/>
  <c r="BW22" i="18"/>
  <c r="BV25" i="18"/>
  <c r="BV24" i="18"/>
  <c r="BV22" i="18"/>
  <c r="BU25" i="18"/>
  <c r="BU24" i="18"/>
  <c r="BU22" i="18"/>
  <c r="BT25" i="18"/>
  <c r="BT24" i="18"/>
  <c r="BT22" i="18"/>
  <c r="BS24" i="18"/>
  <c r="BS22" i="18"/>
  <c r="BR24" i="18"/>
  <c r="DA24" i="18" s="1"/>
  <c r="BR25" i="18"/>
  <c r="DA25" i="18" s="1"/>
  <c r="BR22" i="18"/>
  <c r="DA22" i="18" s="1"/>
  <c r="DA26" i="18"/>
  <c r="DA27" i="18"/>
  <c r="DA28" i="18"/>
  <c r="DA29" i="18"/>
  <c r="DA30" i="18"/>
  <c r="DA23" i="18"/>
  <c r="DA190" i="18"/>
  <c r="DA166" i="18"/>
  <c r="DA155" i="18"/>
  <c r="DA150" i="18"/>
  <c r="DA149" i="18"/>
  <c r="DA148" i="18"/>
  <c r="DA147" i="18"/>
  <c r="DA144" i="18"/>
  <c r="DA143" i="18"/>
  <c r="DA142" i="18"/>
  <c r="DA141" i="18"/>
  <c r="DA140" i="18"/>
  <c r="DA139" i="18"/>
  <c r="DA138" i="18"/>
  <c r="DA137" i="18"/>
  <c r="DA136" i="18"/>
  <c r="DA135" i="18"/>
  <c r="DA134" i="18"/>
  <c r="DA133" i="18"/>
  <c r="DA132" i="18"/>
  <c r="DA131" i="18"/>
  <c r="DA130" i="18"/>
  <c r="DA129" i="18"/>
  <c r="DA128" i="18"/>
  <c r="DA127" i="18"/>
  <c r="DA126" i="18"/>
  <c r="DA125" i="18"/>
  <c r="DA124" i="18"/>
  <c r="DA123" i="18"/>
  <c r="DA121" i="18"/>
  <c r="DA120" i="18"/>
  <c r="DA111" i="18"/>
  <c r="DA110" i="18"/>
  <c r="DA109" i="18"/>
  <c r="DA108" i="18"/>
  <c r="DA105" i="18"/>
  <c r="DA104" i="18"/>
  <c r="DA101" i="18"/>
  <c r="DA99" i="18"/>
  <c r="DA92" i="18"/>
  <c r="DA91" i="18"/>
  <c r="DA90" i="18"/>
  <c r="DA89" i="18"/>
  <c r="DA81" i="18"/>
  <c r="DA80" i="18"/>
  <c r="DA77" i="18"/>
  <c r="DA67" i="18"/>
  <c r="DA66" i="18"/>
  <c r="DA65" i="18"/>
  <c r="DA64" i="18"/>
  <c r="DA61" i="18"/>
  <c r="DA60" i="18"/>
  <c r="DA59" i="18"/>
  <c r="DA54" i="18"/>
  <c r="DA53" i="18"/>
  <c r="DA52" i="18"/>
  <c r="DA50" i="18"/>
  <c r="DA49" i="18"/>
  <c r="DA48" i="18"/>
  <c r="DA47" i="18"/>
  <c r="DA46" i="18"/>
  <c r="DA45" i="18"/>
  <c r="DA44" i="18"/>
  <c r="DA40" i="18"/>
  <c r="DA39" i="18"/>
  <c r="DA38" i="18"/>
  <c r="DA37" i="18"/>
  <c r="DA36" i="18"/>
  <c r="DA35" i="18"/>
  <c r="DA34" i="18"/>
  <c r="DA33" i="18"/>
  <c r="DA31" i="18"/>
  <c r="DA21" i="18"/>
  <c r="DA20" i="18"/>
  <c r="DA13" i="18"/>
  <c r="DA12" i="18"/>
  <c r="DA10" i="18"/>
  <c r="DA8" i="18"/>
  <c r="J12" i="21"/>
  <c r="J11" i="21"/>
  <c r="J10" i="21"/>
  <c r="J9" i="21"/>
  <c r="J8" i="21"/>
  <c r="L70" i="21"/>
  <c r="H70" i="21"/>
  <c r="B70" i="21"/>
  <c r="L69" i="21"/>
  <c r="H69" i="21"/>
  <c r="B69" i="21"/>
  <c r="L68" i="21"/>
  <c r="H68" i="21"/>
  <c r="B68" i="21"/>
  <c r="L67" i="21"/>
  <c r="H67" i="21"/>
  <c r="B67" i="21"/>
  <c r="L66" i="21"/>
  <c r="B66" i="21"/>
  <c r="L53" i="21"/>
  <c r="H53" i="21"/>
  <c r="C53" i="21"/>
  <c r="Z43" i="21"/>
  <c r="Z42" i="21"/>
  <c r="L42" i="21"/>
  <c r="H42" i="21"/>
  <c r="C42" i="21"/>
  <c r="Z41" i="21"/>
  <c r="U36" i="21"/>
  <c r="V37" i="21" s="1"/>
  <c r="Z34" i="21"/>
  <c r="Z33" i="21"/>
  <c r="U29" i="21"/>
  <c r="U33" i="21" s="1"/>
  <c r="J19" i="21"/>
  <c r="J18" i="21"/>
  <c r="E16" i="21"/>
  <c r="J17" i="21"/>
  <c r="E15" i="21"/>
  <c r="D14" i="21"/>
  <c r="J16" i="21"/>
  <c r="F13" i="21"/>
  <c r="D13" i="21"/>
  <c r="J14" i="21"/>
  <c r="K15" i="21"/>
  <c r="J15" i="21"/>
  <c r="H15" i="21"/>
  <c r="D11" i="21"/>
  <c r="J13" i="21"/>
  <c r="D10" i="21"/>
  <c r="D19" i="21"/>
  <c r="D9" i="21"/>
  <c r="D18" i="21"/>
  <c r="D8" i="21"/>
  <c r="N5" i="21"/>
  <c r="K3" i="2"/>
  <c r="C6" i="2" s="1"/>
  <c r="K5" i="21" s="1"/>
  <c r="J3" i="2"/>
  <c r="Z3" i="5" s="1"/>
  <c r="R124" i="5" l="1"/>
  <c r="R129" i="5"/>
  <c r="R113" i="5"/>
  <c r="R175" i="5"/>
  <c r="R116" i="5"/>
  <c r="R169" i="5"/>
  <c r="R147" i="5"/>
  <c r="R167" i="5"/>
  <c r="R149" i="5"/>
  <c r="R123" i="5"/>
  <c r="R185" i="5"/>
  <c r="Y29" i="21"/>
  <c r="V29" i="21"/>
  <c r="U31" i="21"/>
  <c r="U34" i="21"/>
  <c r="W29" i="21"/>
  <c r="X29" i="21"/>
  <c r="U32" i="21"/>
  <c r="Y33" i="21" l="1"/>
  <c r="Y34" i="21"/>
  <c r="X33" i="21"/>
  <c r="X32" i="21"/>
  <c r="X34" i="21"/>
  <c r="W34" i="21"/>
  <c r="W33" i="21"/>
  <c r="W32" i="21"/>
  <c r="V32" i="21"/>
  <c r="V34" i="21"/>
  <c r="V31" i="21"/>
  <c r="V33" i="21"/>
  <c r="G336" i="9"/>
  <c r="F321" i="9" s="1"/>
  <c r="J182" i="8"/>
  <c r="I182" i="8"/>
  <c r="J181" i="8"/>
  <c r="I181" i="8"/>
  <c r="G181" i="8"/>
  <c r="Q206" i="15" l="1"/>
  <c r="P206" i="15"/>
  <c r="O206" i="15"/>
  <c r="G28" i="11" l="1"/>
  <c r="G204" i="13"/>
  <c r="F186" i="13" s="1"/>
  <c r="L201" i="13"/>
  <c r="K186" i="13" s="1"/>
  <c r="K19" i="2"/>
  <c r="K11" i="4"/>
  <c r="J11" i="4"/>
  <c r="H11" i="4"/>
  <c r="G158" i="9" l="1"/>
  <c r="K308" i="9"/>
  <c r="K301" i="9" s="1"/>
  <c r="G308" i="9"/>
  <c r="G301" i="9" s="1"/>
  <c r="G266" i="9"/>
  <c r="K261" i="9" s="1"/>
  <c r="G139" i="9"/>
  <c r="F125" i="9" s="1"/>
  <c r="G94" i="9"/>
  <c r="F81" i="9" s="1"/>
  <c r="L68" i="9"/>
  <c r="K63" i="9" s="1"/>
  <c r="G68" i="9"/>
  <c r="F63" i="9" s="1"/>
  <c r="G261" i="9" l="1"/>
  <c r="I261" i="9"/>
  <c r="F13" i="4" l="1"/>
  <c r="D14" i="4"/>
  <c r="H126" i="6" l="1"/>
  <c r="CK147" i="18"/>
  <c r="CL147" i="18"/>
  <c r="CM147" i="18"/>
  <c r="CN147" i="18"/>
  <c r="CO147" i="18"/>
  <c r="CP147" i="18"/>
  <c r="CQ147" i="18"/>
  <c r="CR147" i="18"/>
  <c r="CS147" i="18"/>
  <c r="CK148" i="18"/>
  <c r="CL148" i="18"/>
  <c r="CM148" i="18"/>
  <c r="CN148" i="18"/>
  <c r="CO148" i="18"/>
  <c r="CP148" i="18"/>
  <c r="CQ148" i="18"/>
  <c r="CR148" i="18"/>
  <c r="CS148" i="18"/>
  <c r="CK149" i="18"/>
  <c r="CL149" i="18"/>
  <c r="CM149" i="18"/>
  <c r="CN149" i="18"/>
  <c r="CO149" i="18"/>
  <c r="CP149" i="18"/>
  <c r="CQ149" i="18"/>
  <c r="CR149" i="18"/>
  <c r="CS149" i="18"/>
  <c r="CK150" i="18"/>
  <c r="CL150" i="18"/>
  <c r="CM150" i="18"/>
  <c r="CN150" i="18"/>
  <c r="CO150" i="18"/>
  <c r="CP150" i="18"/>
  <c r="CQ150" i="18"/>
  <c r="CR150" i="18"/>
  <c r="CS150" i="18"/>
  <c r="CJ172" i="18"/>
  <c r="CQ44" i="18"/>
  <c r="CQ45" i="18"/>
  <c r="CQ46" i="18"/>
  <c r="CQ47" i="18"/>
  <c r="CQ48" i="18"/>
  <c r="CQ49" i="18"/>
  <c r="CQ50" i="18"/>
  <c r="CQ36" i="18"/>
  <c r="CQ37" i="18"/>
  <c r="CQ38" i="18"/>
  <c r="CQ39" i="18"/>
  <c r="CQ40" i="18"/>
  <c r="CQ41" i="18"/>
  <c r="CQ42" i="18"/>
  <c r="CQ15" i="18"/>
  <c r="CQ16" i="18"/>
  <c r="CQ17" i="18"/>
  <c r="CQ18" i="18"/>
  <c r="CV194" i="18"/>
  <c r="CU194" i="18"/>
  <c r="CT194" i="18"/>
  <c r="CS194" i="18"/>
  <c r="CR194" i="18"/>
  <c r="CQ194" i="18"/>
  <c r="CP194" i="18"/>
  <c r="CO194" i="18"/>
  <c r="CN194" i="18"/>
  <c r="CM194" i="18"/>
  <c r="CL194" i="18"/>
  <c r="CK194" i="18"/>
  <c r="CJ194" i="18"/>
  <c r="CV193" i="18"/>
  <c r="CU193" i="18"/>
  <c r="CT193" i="18"/>
  <c r="CS193" i="18"/>
  <c r="CR193" i="18"/>
  <c r="CQ193" i="18"/>
  <c r="CP193" i="18"/>
  <c r="CO193" i="18"/>
  <c r="CN193" i="18"/>
  <c r="CM193" i="18"/>
  <c r="CL193" i="18"/>
  <c r="CK193" i="18"/>
  <c r="CJ193" i="18"/>
  <c r="CV192" i="18"/>
  <c r="CU192" i="18"/>
  <c r="CT192" i="18"/>
  <c r="CS192" i="18"/>
  <c r="CR192" i="18"/>
  <c r="CQ192" i="18"/>
  <c r="CP192" i="18"/>
  <c r="CO192" i="18"/>
  <c r="CN192" i="18"/>
  <c r="CM192" i="18"/>
  <c r="CL192" i="18"/>
  <c r="CK192" i="18"/>
  <c r="CJ192" i="18"/>
  <c r="CV191" i="18"/>
  <c r="CU191" i="18"/>
  <c r="CT191" i="18"/>
  <c r="CS191" i="18"/>
  <c r="CR191" i="18"/>
  <c r="CQ191" i="18"/>
  <c r="CP191" i="18"/>
  <c r="CO191" i="18"/>
  <c r="CN191" i="18"/>
  <c r="CM191" i="18"/>
  <c r="CL191" i="18"/>
  <c r="CK191" i="18"/>
  <c r="CJ191" i="18"/>
  <c r="CV190" i="18"/>
  <c r="CU190" i="18"/>
  <c r="CT190" i="18"/>
  <c r="CS190" i="18"/>
  <c r="CR190" i="18"/>
  <c r="CQ190" i="18"/>
  <c r="CP190" i="18"/>
  <c r="CO190" i="18"/>
  <c r="CN190" i="18"/>
  <c r="CM190" i="18"/>
  <c r="CL190" i="18"/>
  <c r="CK190" i="18"/>
  <c r="CJ190" i="18"/>
  <c r="CV189" i="18"/>
  <c r="CU189" i="18"/>
  <c r="CT189" i="18"/>
  <c r="CS189" i="18"/>
  <c r="CR189" i="18"/>
  <c r="CQ189" i="18"/>
  <c r="CP189" i="18"/>
  <c r="CO189" i="18"/>
  <c r="CN189" i="18"/>
  <c r="CM189" i="18"/>
  <c r="CL189" i="18"/>
  <c r="CK189" i="18"/>
  <c r="CJ189" i="18"/>
  <c r="CV188" i="18"/>
  <c r="CU188" i="18"/>
  <c r="CT188" i="18"/>
  <c r="CS188" i="18"/>
  <c r="CR188" i="18"/>
  <c r="CQ188" i="18"/>
  <c r="CP188" i="18"/>
  <c r="CO188" i="18"/>
  <c r="CN188" i="18"/>
  <c r="CM188" i="18"/>
  <c r="CL188" i="18"/>
  <c r="CK188" i="18"/>
  <c r="CJ188" i="18"/>
  <c r="CV187" i="18"/>
  <c r="CU187" i="18"/>
  <c r="CT187" i="18"/>
  <c r="CS187" i="18"/>
  <c r="CR187" i="18"/>
  <c r="CQ187" i="18"/>
  <c r="CP187" i="18"/>
  <c r="CO187" i="18"/>
  <c r="CN187" i="18"/>
  <c r="CM187" i="18"/>
  <c r="CL187" i="18"/>
  <c r="CK187" i="18"/>
  <c r="CJ187" i="18"/>
  <c r="CV186" i="18"/>
  <c r="CU186" i="18"/>
  <c r="CT186" i="18"/>
  <c r="CS186" i="18"/>
  <c r="CR186" i="18"/>
  <c r="CQ186" i="18"/>
  <c r="CP186" i="18"/>
  <c r="CO186" i="18"/>
  <c r="CN186" i="18"/>
  <c r="CM186" i="18"/>
  <c r="CL186" i="18"/>
  <c r="CK186" i="18"/>
  <c r="CJ186" i="18"/>
  <c r="CV185" i="18"/>
  <c r="CU185" i="18"/>
  <c r="CT185" i="18"/>
  <c r="CS185" i="18"/>
  <c r="CR185" i="18"/>
  <c r="CQ185" i="18"/>
  <c r="CP185" i="18"/>
  <c r="CO185" i="18"/>
  <c r="CN185" i="18"/>
  <c r="CM185" i="18"/>
  <c r="CL185" i="18"/>
  <c r="CK185" i="18"/>
  <c r="CJ185" i="18"/>
  <c r="CV184" i="18"/>
  <c r="CU184" i="18"/>
  <c r="CT184" i="18"/>
  <c r="CS184" i="18"/>
  <c r="CR184" i="18"/>
  <c r="CQ184" i="18"/>
  <c r="CP184" i="18"/>
  <c r="CO184" i="18"/>
  <c r="CN184" i="18"/>
  <c r="CM184" i="18"/>
  <c r="CL184" i="18"/>
  <c r="CK184" i="18"/>
  <c r="CJ184" i="18"/>
  <c r="CV183" i="18"/>
  <c r="CU183" i="18"/>
  <c r="CT183" i="18"/>
  <c r="CV181" i="18"/>
  <c r="CU181" i="18"/>
  <c r="CT181" i="18"/>
  <c r="CS181" i="18"/>
  <c r="CR181" i="18"/>
  <c r="CQ181" i="18"/>
  <c r="CP181" i="18"/>
  <c r="CO181" i="18"/>
  <c r="CN181" i="18"/>
  <c r="CM181" i="18"/>
  <c r="CL181" i="18"/>
  <c r="CK181" i="18"/>
  <c r="CJ181" i="18"/>
  <c r="CV180" i="18"/>
  <c r="CU180" i="18"/>
  <c r="CT180" i="18"/>
  <c r="CS180" i="18"/>
  <c r="CR180" i="18"/>
  <c r="CQ180" i="18"/>
  <c r="CP180" i="18"/>
  <c r="CO180" i="18"/>
  <c r="CN180" i="18"/>
  <c r="CM180" i="18"/>
  <c r="CL180" i="18"/>
  <c r="CK180" i="18"/>
  <c r="CJ180" i="18"/>
  <c r="CV179" i="18"/>
  <c r="CU179" i="18"/>
  <c r="CT179" i="18"/>
  <c r="CS179" i="18"/>
  <c r="CR179" i="18"/>
  <c r="CQ179" i="18"/>
  <c r="CP179" i="18"/>
  <c r="CO179" i="18"/>
  <c r="CN179" i="18"/>
  <c r="CM179" i="18"/>
  <c r="CL179" i="18"/>
  <c r="CK179" i="18"/>
  <c r="CJ179" i="18"/>
  <c r="CV178" i="18"/>
  <c r="CU178" i="18"/>
  <c r="CT178" i="18"/>
  <c r="CS178" i="18"/>
  <c r="CR178" i="18"/>
  <c r="CQ178" i="18"/>
  <c r="CP178" i="18"/>
  <c r="CO178" i="18"/>
  <c r="CN178" i="18"/>
  <c r="CM178" i="18"/>
  <c r="CL178" i="18"/>
  <c r="CK178" i="18"/>
  <c r="CJ178" i="18"/>
  <c r="CV177" i="18"/>
  <c r="CU177" i="18"/>
  <c r="CT177" i="18"/>
  <c r="CS177" i="18"/>
  <c r="CR177" i="18"/>
  <c r="CQ177" i="18"/>
  <c r="CP177" i="18"/>
  <c r="CO177" i="18"/>
  <c r="CN177" i="18"/>
  <c r="CM177" i="18"/>
  <c r="CL177" i="18"/>
  <c r="CK177" i="18"/>
  <c r="CJ177" i="18"/>
  <c r="CV176" i="18"/>
  <c r="CU176" i="18"/>
  <c r="CT176" i="18"/>
  <c r="CS176" i="18"/>
  <c r="CR176" i="18"/>
  <c r="CQ176" i="18"/>
  <c r="CP176" i="18"/>
  <c r="CO176" i="18"/>
  <c r="CN176" i="18"/>
  <c r="CM176" i="18"/>
  <c r="CL176" i="18"/>
  <c r="CK176" i="18"/>
  <c r="CJ176" i="18"/>
  <c r="CV175" i="18"/>
  <c r="CU175" i="18"/>
  <c r="CT175" i="18"/>
  <c r="CS175" i="18"/>
  <c r="CR175" i="18"/>
  <c r="CQ175" i="18"/>
  <c r="CP175" i="18"/>
  <c r="CO175" i="18"/>
  <c r="CN175" i="18"/>
  <c r="CM175" i="18"/>
  <c r="CL175" i="18"/>
  <c r="CK175" i="18"/>
  <c r="CJ175" i="18"/>
  <c r="CV174" i="18"/>
  <c r="CU174" i="18"/>
  <c r="CT174" i="18"/>
  <c r="CV173" i="18"/>
  <c r="CU173" i="18"/>
  <c r="CT173" i="18"/>
  <c r="CV172" i="18"/>
  <c r="CU172" i="18"/>
  <c r="CT172" i="18"/>
  <c r="CS172" i="18"/>
  <c r="CR172" i="18"/>
  <c r="CQ172" i="18"/>
  <c r="CP172" i="18"/>
  <c r="CO172" i="18"/>
  <c r="CN172" i="18"/>
  <c r="CM172" i="18"/>
  <c r="CL172" i="18"/>
  <c r="CK172" i="18"/>
  <c r="CV171" i="18"/>
  <c r="CU171" i="18"/>
  <c r="CT171" i="18"/>
  <c r="CS171" i="18"/>
  <c r="CR171" i="18"/>
  <c r="CQ171" i="18"/>
  <c r="CP171" i="18"/>
  <c r="CO171" i="18"/>
  <c r="CN171" i="18"/>
  <c r="CM171" i="18"/>
  <c r="CL171" i="18"/>
  <c r="CK171" i="18"/>
  <c r="CJ171" i="18"/>
  <c r="CV170" i="18"/>
  <c r="CU170" i="18"/>
  <c r="CT170" i="18"/>
  <c r="CS170" i="18"/>
  <c r="CR170" i="18"/>
  <c r="CQ170" i="18"/>
  <c r="CP170" i="18"/>
  <c r="CO170" i="18"/>
  <c r="CN170" i="18"/>
  <c r="CM170" i="18"/>
  <c r="CL170" i="18"/>
  <c r="CK170" i="18"/>
  <c r="CJ170" i="18"/>
  <c r="CV169" i="18"/>
  <c r="CU169" i="18"/>
  <c r="CT169" i="18"/>
  <c r="CS169" i="18"/>
  <c r="CR169" i="18"/>
  <c r="CQ169" i="18"/>
  <c r="CP169" i="18"/>
  <c r="CO169" i="18"/>
  <c r="CN169" i="18"/>
  <c r="CM169" i="18"/>
  <c r="CL169" i="18"/>
  <c r="CK169" i="18"/>
  <c r="CJ169" i="18"/>
  <c r="CV168" i="18"/>
  <c r="CU168" i="18"/>
  <c r="CT168" i="18"/>
  <c r="CS168" i="18"/>
  <c r="CR168" i="18"/>
  <c r="CQ168" i="18"/>
  <c r="CP168" i="18"/>
  <c r="CO168" i="18"/>
  <c r="CN168" i="18"/>
  <c r="CM168" i="18"/>
  <c r="CL168" i="18"/>
  <c r="CK168" i="18"/>
  <c r="CJ168" i="18"/>
  <c r="CV167" i="18"/>
  <c r="CU167" i="18"/>
  <c r="CT167" i="18"/>
  <c r="CS167" i="18"/>
  <c r="CR167" i="18"/>
  <c r="CQ167" i="18"/>
  <c r="CP167" i="18"/>
  <c r="CO167" i="18"/>
  <c r="CN167" i="18"/>
  <c r="CM167" i="18"/>
  <c r="CL167" i="18"/>
  <c r="CK167" i="18"/>
  <c r="CJ167" i="18"/>
  <c r="CV166" i="18"/>
  <c r="CU166" i="18"/>
  <c r="CT166" i="18"/>
  <c r="CV157" i="18"/>
  <c r="CU157" i="18"/>
  <c r="CT157" i="18"/>
  <c r="CV156" i="18"/>
  <c r="CU156" i="18"/>
  <c r="CT156" i="18"/>
  <c r="CV155" i="18"/>
  <c r="CU155" i="18"/>
  <c r="CT155" i="18"/>
  <c r="CV154" i="18"/>
  <c r="CU154" i="18"/>
  <c r="CT154" i="18"/>
  <c r="CV153" i="18"/>
  <c r="CU153" i="18"/>
  <c r="CT153" i="18"/>
  <c r="CV152" i="18"/>
  <c r="CU152" i="18"/>
  <c r="CT152" i="18"/>
  <c r="CV151" i="18"/>
  <c r="CU151" i="18"/>
  <c r="CT151" i="18"/>
  <c r="CV150" i="18"/>
  <c r="CU150" i="18"/>
  <c r="CT150" i="18"/>
  <c r="CJ150" i="18"/>
  <c r="CV149" i="18"/>
  <c r="CU149" i="18"/>
  <c r="CT149" i="18"/>
  <c r="CJ149" i="18"/>
  <c r="CV148" i="18"/>
  <c r="CU148" i="18"/>
  <c r="CT148" i="18"/>
  <c r="CJ148" i="18"/>
  <c r="CV147" i="18"/>
  <c r="CU147" i="18"/>
  <c r="CT147" i="18"/>
  <c r="CJ147" i="18"/>
  <c r="CV146" i="18"/>
  <c r="CU146" i="18"/>
  <c r="CT146" i="18"/>
  <c r="CV145" i="18"/>
  <c r="CU145" i="18"/>
  <c r="CT145" i="18"/>
  <c r="CV144" i="18"/>
  <c r="CU144" i="18"/>
  <c r="CT144" i="18"/>
  <c r="CS144" i="18"/>
  <c r="CR144" i="18"/>
  <c r="CQ144" i="18"/>
  <c r="CP144" i="18"/>
  <c r="CO144" i="18"/>
  <c r="CN144" i="18"/>
  <c r="CM144" i="18"/>
  <c r="CL144" i="18"/>
  <c r="CK144" i="18"/>
  <c r="CJ144" i="18"/>
  <c r="CV143" i="18"/>
  <c r="CU143" i="18"/>
  <c r="CT143" i="18"/>
  <c r="CS143" i="18"/>
  <c r="CR143" i="18"/>
  <c r="CQ143" i="18"/>
  <c r="CP143" i="18"/>
  <c r="CO143" i="18"/>
  <c r="CN143" i="18"/>
  <c r="CM143" i="18"/>
  <c r="CL143" i="18"/>
  <c r="CK143" i="18"/>
  <c r="CJ143" i="18"/>
  <c r="CV142" i="18"/>
  <c r="CU142" i="18"/>
  <c r="CT142" i="18"/>
  <c r="CS142" i="18"/>
  <c r="CR142" i="18"/>
  <c r="CQ142" i="18"/>
  <c r="CP142" i="18"/>
  <c r="CO142" i="18"/>
  <c r="CN142" i="18"/>
  <c r="CM142" i="18"/>
  <c r="CL142" i="18"/>
  <c r="CK142" i="18"/>
  <c r="CJ142" i="18"/>
  <c r="CV141" i="18"/>
  <c r="CU141" i="18"/>
  <c r="CT141" i="18"/>
  <c r="CS141" i="18"/>
  <c r="CR141" i="18"/>
  <c r="CQ141" i="18"/>
  <c r="CP141" i="18"/>
  <c r="CO141" i="18"/>
  <c r="CN141" i="18"/>
  <c r="CM141" i="18"/>
  <c r="CL141" i="18"/>
  <c r="CK141" i="18"/>
  <c r="CJ141" i="18"/>
  <c r="CV140" i="18"/>
  <c r="CU140" i="18"/>
  <c r="CT140" i="18"/>
  <c r="CS140" i="18"/>
  <c r="CR140" i="18"/>
  <c r="CQ140" i="18"/>
  <c r="CP140" i="18"/>
  <c r="CO140" i="18"/>
  <c r="CN140" i="18"/>
  <c r="CM140" i="18"/>
  <c r="CL140" i="18"/>
  <c r="CK140" i="18"/>
  <c r="CJ140" i="18"/>
  <c r="CV139" i="18"/>
  <c r="CU139" i="18"/>
  <c r="CT139" i="18"/>
  <c r="CS139" i="18"/>
  <c r="CR139" i="18"/>
  <c r="CQ139" i="18"/>
  <c r="CP139" i="18"/>
  <c r="CO139" i="18"/>
  <c r="CN139" i="18"/>
  <c r="CM139" i="18"/>
  <c r="CL139" i="18"/>
  <c r="CK139" i="18"/>
  <c r="CJ139" i="18"/>
  <c r="CV138" i="18"/>
  <c r="CU138" i="18"/>
  <c r="CT138" i="18"/>
  <c r="CS138" i="18"/>
  <c r="CQ138" i="18"/>
  <c r="CP138" i="18"/>
  <c r="CO138" i="18"/>
  <c r="CN138" i="18"/>
  <c r="CM138" i="18"/>
  <c r="CL138" i="18"/>
  <c r="CK138" i="18"/>
  <c r="CJ138" i="18"/>
  <c r="CV137" i="18"/>
  <c r="CU137" i="18"/>
  <c r="CT137" i="18"/>
  <c r="CS137" i="18"/>
  <c r="CQ137" i="18"/>
  <c r="CP137" i="18"/>
  <c r="CO137" i="18"/>
  <c r="CN137" i="18"/>
  <c r="CM137" i="18"/>
  <c r="CL137" i="18"/>
  <c r="CK137" i="18"/>
  <c r="CJ137" i="18"/>
  <c r="CV136" i="18"/>
  <c r="CU136" i="18"/>
  <c r="CT136" i="18"/>
  <c r="CS136" i="18"/>
  <c r="CQ136" i="18"/>
  <c r="CP136" i="18"/>
  <c r="CO136" i="18"/>
  <c r="CN136" i="18"/>
  <c r="CM136" i="18"/>
  <c r="CL136" i="18"/>
  <c r="CK136" i="18"/>
  <c r="CJ136" i="18"/>
  <c r="CV135" i="18"/>
  <c r="CU135" i="18"/>
  <c r="CT135" i="18"/>
  <c r="CS135" i="18"/>
  <c r="CQ135" i="18"/>
  <c r="CP135" i="18"/>
  <c r="CO135" i="18"/>
  <c r="CN135" i="18"/>
  <c r="CM135" i="18"/>
  <c r="CL135" i="18"/>
  <c r="CK135" i="18"/>
  <c r="CJ135" i="18"/>
  <c r="CV134" i="18"/>
  <c r="CU134" i="18"/>
  <c r="CT134" i="18"/>
  <c r="CS134" i="18"/>
  <c r="CQ134" i="18"/>
  <c r="CP134" i="18"/>
  <c r="CO134" i="18"/>
  <c r="CN134" i="18"/>
  <c r="CM134" i="18"/>
  <c r="CL134" i="18"/>
  <c r="CK134" i="18"/>
  <c r="CJ134" i="18"/>
  <c r="CV133" i="18"/>
  <c r="CU133" i="18"/>
  <c r="CT133" i="18"/>
  <c r="CS133" i="18"/>
  <c r="CQ133" i="18"/>
  <c r="CP133" i="18"/>
  <c r="CO133" i="18"/>
  <c r="CN133" i="18"/>
  <c r="CM133" i="18"/>
  <c r="CL133" i="18"/>
  <c r="CK133" i="18"/>
  <c r="CJ133" i="18"/>
  <c r="CV132" i="18"/>
  <c r="CU132" i="18"/>
  <c r="CT132" i="18"/>
  <c r="CS132" i="18"/>
  <c r="CQ132" i="18"/>
  <c r="CP132" i="18"/>
  <c r="CO132" i="18"/>
  <c r="CN132" i="18"/>
  <c r="CM132" i="18"/>
  <c r="CL132" i="18"/>
  <c r="CK132" i="18"/>
  <c r="CJ132" i="18"/>
  <c r="CV131" i="18"/>
  <c r="CU131" i="18"/>
  <c r="CT131" i="18"/>
  <c r="CS131" i="18"/>
  <c r="CQ131" i="18"/>
  <c r="CP131" i="18"/>
  <c r="CO131" i="18"/>
  <c r="CN131" i="18"/>
  <c r="CM131" i="18"/>
  <c r="CL131" i="18"/>
  <c r="CK131" i="18"/>
  <c r="CJ131" i="18"/>
  <c r="CV130" i="18"/>
  <c r="CU130" i="18"/>
  <c r="CT130" i="18"/>
  <c r="CS130" i="18"/>
  <c r="CQ130" i="18"/>
  <c r="CP130" i="18"/>
  <c r="CO130" i="18"/>
  <c r="CN130" i="18"/>
  <c r="CM130" i="18"/>
  <c r="CL130" i="18"/>
  <c r="CK130" i="18"/>
  <c r="CJ130" i="18"/>
  <c r="CV129" i="18"/>
  <c r="CU129" i="18"/>
  <c r="CT129" i="18"/>
  <c r="CS129" i="18"/>
  <c r="CQ129" i="18"/>
  <c r="CP129" i="18"/>
  <c r="CO129" i="18"/>
  <c r="CN129" i="18"/>
  <c r="CM129" i="18"/>
  <c r="CL129" i="18"/>
  <c r="CK129" i="18"/>
  <c r="CJ129" i="18"/>
  <c r="CV128" i="18"/>
  <c r="CU128" i="18"/>
  <c r="CT128" i="18"/>
  <c r="CS128" i="18"/>
  <c r="CQ128" i="18"/>
  <c r="CP128" i="18"/>
  <c r="CO128" i="18"/>
  <c r="CN128" i="18"/>
  <c r="CM128" i="18"/>
  <c r="CL128" i="18"/>
  <c r="CK128" i="18"/>
  <c r="CJ128" i="18"/>
  <c r="CV127" i="18"/>
  <c r="CU127" i="18"/>
  <c r="CT127" i="18"/>
  <c r="CS127" i="18"/>
  <c r="CQ127" i="18"/>
  <c r="CP127" i="18"/>
  <c r="CO127" i="18"/>
  <c r="CN127" i="18"/>
  <c r="CM127" i="18"/>
  <c r="CL127" i="18"/>
  <c r="CK127" i="18"/>
  <c r="CJ127" i="18"/>
  <c r="CV126" i="18"/>
  <c r="CU126" i="18"/>
  <c r="CT126" i="18"/>
  <c r="CS126" i="18"/>
  <c r="CQ126" i="18"/>
  <c r="CP126" i="18"/>
  <c r="CO126" i="18"/>
  <c r="CN126" i="18"/>
  <c r="CM126" i="18"/>
  <c r="CL126" i="18"/>
  <c r="CK126" i="18"/>
  <c r="CJ126" i="18"/>
  <c r="CV125" i="18"/>
  <c r="CU125" i="18"/>
  <c r="CT125" i="18"/>
  <c r="CS125" i="18"/>
  <c r="CQ125" i="18"/>
  <c r="CP125" i="18"/>
  <c r="CO125" i="18"/>
  <c r="CN125" i="18"/>
  <c r="CM125" i="18"/>
  <c r="CL125" i="18"/>
  <c r="CK125" i="18"/>
  <c r="CJ125" i="18"/>
  <c r="CV124" i="18"/>
  <c r="CU124" i="18"/>
  <c r="CT124" i="18"/>
  <c r="CS124" i="18"/>
  <c r="CQ124" i="18"/>
  <c r="CP124" i="18"/>
  <c r="CO124" i="18"/>
  <c r="CN124" i="18"/>
  <c r="CM124" i="18"/>
  <c r="CL124" i="18"/>
  <c r="CK124" i="18"/>
  <c r="CJ124" i="18"/>
  <c r="CV123" i="18"/>
  <c r="CU123" i="18"/>
  <c r="CT123" i="18"/>
  <c r="CS123" i="18"/>
  <c r="CQ123" i="18"/>
  <c r="CP123" i="18"/>
  <c r="CO123" i="18"/>
  <c r="CN123" i="18"/>
  <c r="CM123" i="18"/>
  <c r="CL123" i="18"/>
  <c r="CK123" i="18"/>
  <c r="CJ123" i="18"/>
  <c r="CV122" i="18"/>
  <c r="CU122" i="18"/>
  <c r="CT122" i="18"/>
  <c r="CV121" i="18"/>
  <c r="CU121" i="18"/>
  <c r="CT121" i="18"/>
  <c r="CS121" i="18"/>
  <c r="CR121" i="18"/>
  <c r="CQ121" i="18"/>
  <c r="CP121" i="18"/>
  <c r="CO121" i="18"/>
  <c r="CN121" i="18"/>
  <c r="CM121" i="18"/>
  <c r="CL121" i="18"/>
  <c r="CK121" i="18"/>
  <c r="CJ121" i="18"/>
  <c r="CV120" i="18"/>
  <c r="CU120" i="18"/>
  <c r="CT120" i="18"/>
  <c r="CS120" i="18"/>
  <c r="CR120" i="18"/>
  <c r="CQ120" i="18"/>
  <c r="CP120" i="18"/>
  <c r="CO120" i="18"/>
  <c r="CN120" i="18"/>
  <c r="CM120" i="18"/>
  <c r="CL120" i="18"/>
  <c r="CK120" i="18"/>
  <c r="CJ120" i="18"/>
  <c r="CV119" i="18"/>
  <c r="CU119" i="18"/>
  <c r="CT119" i="18"/>
  <c r="CS119" i="18"/>
  <c r="CR119" i="18"/>
  <c r="CQ119" i="18"/>
  <c r="CP119" i="18"/>
  <c r="CO119" i="18"/>
  <c r="CN119" i="18"/>
  <c r="CM119" i="18"/>
  <c r="CL119" i="18"/>
  <c r="CK119" i="18"/>
  <c r="CJ119" i="18"/>
  <c r="CV118" i="18"/>
  <c r="CU118" i="18"/>
  <c r="CT118" i="18"/>
  <c r="CS118" i="18"/>
  <c r="CR118" i="18"/>
  <c r="CQ118" i="18"/>
  <c r="CP118" i="18"/>
  <c r="CO118" i="18"/>
  <c r="CN118" i="18"/>
  <c r="CM118" i="18"/>
  <c r="CL118" i="18"/>
  <c r="CK118" i="18"/>
  <c r="CJ118" i="18"/>
  <c r="CV117" i="18"/>
  <c r="CU117" i="18"/>
  <c r="CT117" i="18"/>
  <c r="CS117" i="18"/>
  <c r="CR117" i="18"/>
  <c r="CQ117" i="18"/>
  <c r="CP117" i="18"/>
  <c r="CO117" i="18"/>
  <c r="CN117" i="18"/>
  <c r="CM117" i="18"/>
  <c r="CL117" i="18"/>
  <c r="CK117" i="18"/>
  <c r="CJ117" i="18"/>
  <c r="CV116" i="18"/>
  <c r="CU116" i="18"/>
  <c r="CT116" i="18"/>
  <c r="CS116" i="18"/>
  <c r="CR116" i="18"/>
  <c r="CQ116" i="18"/>
  <c r="CP116" i="18"/>
  <c r="CO116" i="18"/>
  <c r="CN116" i="18"/>
  <c r="CM116" i="18"/>
  <c r="CL116" i="18"/>
  <c r="CK116" i="18"/>
  <c r="CJ116" i="18"/>
  <c r="CV113" i="18"/>
  <c r="CU113" i="18"/>
  <c r="CT113" i="18"/>
  <c r="CS113" i="18"/>
  <c r="CR113" i="18"/>
  <c r="CQ113" i="18"/>
  <c r="CP113" i="18"/>
  <c r="CO113" i="18"/>
  <c r="CN113" i="18"/>
  <c r="CM113" i="18"/>
  <c r="CL113" i="18"/>
  <c r="CK113" i="18"/>
  <c r="CJ113" i="18"/>
  <c r="CV112" i="18"/>
  <c r="CU112" i="18"/>
  <c r="CT112" i="18"/>
  <c r="CV100" i="18"/>
  <c r="CU100" i="18"/>
  <c r="CT100" i="18"/>
  <c r="CV99" i="18"/>
  <c r="CU99" i="18"/>
  <c r="CT99" i="18"/>
  <c r="CS99" i="18"/>
  <c r="CR99" i="18"/>
  <c r="CQ99" i="18"/>
  <c r="CP99" i="18"/>
  <c r="CO99" i="18"/>
  <c r="CN99" i="18"/>
  <c r="CM99" i="18"/>
  <c r="CL99" i="18"/>
  <c r="CK99" i="18"/>
  <c r="CJ99" i="18"/>
  <c r="CV98" i="18"/>
  <c r="CU98" i="18"/>
  <c r="CT98" i="18"/>
  <c r="CV97" i="18"/>
  <c r="CU97" i="18"/>
  <c r="CT97" i="18"/>
  <c r="CV96" i="18"/>
  <c r="CU96" i="18"/>
  <c r="CT96" i="18"/>
  <c r="CV95" i="18"/>
  <c r="CU95" i="18"/>
  <c r="CT95" i="18"/>
  <c r="CV94" i="18"/>
  <c r="CU94" i="18"/>
  <c r="CT94" i="18"/>
  <c r="CV93" i="18"/>
  <c r="CU93" i="18"/>
  <c r="CT93" i="18"/>
  <c r="CV92" i="18"/>
  <c r="CU92" i="18"/>
  <c r="CT92" i="18"/>
  <c r="CS92" i="18"/>
  <c r="CR92" i="18"/>
  <c r="CQ92" i="18"/>
  <c r="CP92" i="18"/>
  <c r="CO92" i="18"/>
  <c r="CN92" i="18"/>
  <c r="CM92" i="18"/>
  <c r="CL92" i="18"/>
  <c r="CK92" i="18"/>
  <c r="CJ92" i="18"/>
  <c r="CV91" i="18"/>
  <c r="CU91" i="18"/>
  <c r="CT91" i="18"/>
  <c r="CS91" i="18"/>
  <c r="CR91" i="18"/>
  <c r="CQ91" i="18"/>
  <c r="CP91" i="18"/>
  <c r="CO91" i="18"/>
  <c r="CN91" i="18"/>
  <c r="CM91" i="18"/>
  <c r="CL91" i="18"/>
  <c r="CK91" i="18"/>
  <c r="CJ91" i="18"/>
  <c r="CV90" i="18"/>
  <c r="CU90" i="18"/>
  <c r="CT90" i="18"/>
  <c r="CS90" i="18"/>
  <c r="CR90" i="18"/>
  <c r="CQ90" i="18"/>
  <c r="CP90" i="18"/>
  <c r="CO90" i="18"/>
  <c r="CN90" i="18"/>
  <c r="CM90" i="18"/>
  <c r="CL90" i="18"/>
  <c r="CK90" i="18"/>
  <c r="CJ90" i="18"/>
  <c r="CV89" i="18"/>
  <c r="CU89" i="18"/>
  <c r="CT89" i="18"/>
  <c r="CS89" i="18"/>
  <c r="CR89" i="18"/>
  <c r="CQ89" i="18"/>
  <c r="CP89" i="18"/>
  <c r="CO89" i="18"/>
  <c r="CN89" i="18"/>
  <c r="CM89" i="18"/>
  <c r="CL89" i="18"/>
  <c r="CK89" i="18"/>
  <c r="CJ89" i="18"/>
  <c r="CV88" i="18"/>
  <c r="CU88" i="18"/>
  <c r="CV87" i="18"/>
  <c r="CU87" i="18"/>
  <c r="CV86" i="18"/>
  <c r="CU86" i="18"/>
  <c r="CV85" i="18"/>
  <c r="CU85" i="18"/>
  <c r="CV84" i="18"/>
  <c r="CU84" i="18"/>
  <c r="CV83" i="18"/>
  <c r="CU83" i="18"/>
  <c r="CV82" i="18"/>
  <c r="CU82" i="18"/>
  <c r="CT82" i="18"/>
  <c r="CV81" i="18"/>
  <c r="CU81" i="18"/>
  <c r="CT81" i="18"/>
  <c r="CV80" i="18"/>
  <c r="CU80" i="18"/>
  <c r="CT80" i="18"/>
  <c r="CV79" i="18"/>
  <c r="CU79" i="18"/>
  <c r="CT79" i="18"/>
  <c r="CV78" i="18"/>
  <c r="CU78" i="18"/>
  <c r="CT78" i="18"/>
  <c r="CV77" i="18"/>
  <c r="CU77" i="18"/>
  <c r="CT77" i="18"/>
  <c r="CS77" i="18"/>
  <c r="CR77" i="18"/>
  <c r="CQ77" i="18"/>
  <c r="CP77" i="18"/>
  <c r="CO77" i="18"/>
  <c r="CN77" i="18"/>
  <c r="CM77" i="18"/>
  <c r="CL77" i="18"/>
  <c r="CK77" i="18"/>
  <c r="CJ77" i="18"/>
  <c r="CV76" i="18"/>
  <c r="CU76" i="18"/>
  <c r="CT76" i="18"/>
  <c r="CS76" i="18"/>
  <c r="CR76" i="18"/>
  <c r="CQ76" i="18"/>
  <c r="CP76" i="18"/>
  <c r="CO76" i="18"/>
  <c r="CN76" i="18"/>
  <c r="CM76" i="18"/>
  <c r="CL76" i="18"/>
  <c r="CK76" i="18"/>
  <c r="CJ76" i="18"/>
  <c r="CV75" i="18"/>
  <c r="CU75" i="18"/>
  <c r="CT75" i="18"/>
  <c r="CS75" i="18"/>
  <c r="CR75" i="18"/>
  <c r="CQ75" i="18"/>
  <c r="CP75" i="18"/>
  <c r="CO75" i="18"/>
  <c r="CN75" i="18"/>
  <c r="CM75" i="18"/>
  <c r="CL75" i="18"/>
  <c r="CK75" i="18"/>
  <c r="CJ75" i="18"/>
  <c r="CV74" i="18"/>
  <c r="CU74" i="18"/>
  <c r="CT74" i="18"/>
  <c r="CS74" i="18"/>
  <c r="CR74" i="18"/>
  <c r="CQ74" i="18"/>
  <c r="CP74" i="18"/>
  <c r="CO74" i="18"/>
  <c r="CN74" i="18"/>
  <c r="CM74" i="18"/>
  <c r="CL74" i="18"/>
  <c r="CK74" i="18"/>
  <c r="CJ74" i="18"/>
  <c r="CV72" i="18"/>
  <c r="CU72" i="18"/>
  <c r="CT72" i="18"/>
  <c r="CS72" i="18"/>
  <c r="CR72" i="18"/>
  <c r="CQ72" i="18"/>
  <c r="CP72" i="18"/>
  <c r="CO72" i="18"/>
  <c r="CN72" i="18"/>
  <c r="CM72" i="18"/>
  <c r="CL72" i="18"/>
  <c r="CK72" i="18"/>
  <c r="CJ72" i="18"/>
  <c r="CV71" i="18"/>
  <c r="CU71" i="18"/>
  <c r="CT71" i="18"/>
  <c r="CS71" i="18"/>
  <c r="CR71" i="18"/>
  <c r="CQ71" i="18"/>
  <c r="CP71" i="18"/>
  <c r="CO71" i="18"/>
  <c r="CN71" i="18"/>
  <c r="CM71" i="18"/>
  <c r="CL71" i="18"/>
  <c r="CK71" i="18"/>
  <c r="CJ71" i="18"/>
  <c r="CV69" i="18"/>
  <c r="CU69" i="18"/>
  <c r="CT69" i="18"/>
  <c r="CS69" i="18"/>
  <c r="CR69" i="18"/>
  <c r="CQ69" i="18"/>
  <c r="CP69" i="18"/>
  <c r="CO69" i="18"/>
  <c r="CN69" i="18"/>
  <c r="CM69" i="18"/>
  <c r="CL69" i="18"/>
  <c r="CK69" i="18"/>
  <c r="CJ69" i="18"/>
  <c r="CV68" i="18"/>
  <c r="CU68" i="18"/>
  <c r="CT68" i="18"/>
  <c r="CS68" i="18"/>
  <c r="CR68" i="18"/>
  <c r="CQ68" i="18"/>
  <c r="CP68" i="18"/>
  <c r="CO68" i="18"/>
  <c r="CN68" i="18"/>
  <c r="CM68" i="18"/>
  <c r="CL68" i="18"/>
  <c r="CK68" i="18"/>
  <c r="CJ68" i="18"/>
  <c r="CV67" i="18"/>
  <c r="CU67" i="18"/>
  <c r="CT67" i="18"/>
  <c r="CS67" i="18"/>
  <c r="CR67" i="18"/>
  <c r="CQ67" i="18"/>
  <c r="CP67" i="18"/>
  <c r="CO67" i="18"/>
  <c r="CN67" i="18"/>
  <c r="CM67" i="18"/>
  <c r="CL67" i="18"/>
  <c r="CK67" i="18"/>
  <c r="CJ67" i="18"/>
  <c r="CV66" i="18"/>
  <c r="CU66" i="18"/>
  <c r="CT66" i="18"/>
  <c r="CS66" i="18"/>
  <c r="CR66" i="18"/>
  <c r="CQ66" i="18"/>
  <c r="CP66" i="18"/>
  <c r="CO66" i="18"/>
  <c r="CN66" i="18"/>
  <c r="CM66" i="18"/>
  <c r="CL66" i="18"/>
  <c r="CK66" i="18"/>
  <c r="CJ66" i="18"/>
  <c r="CV65" i="18"/>
  <c r="CU65" i="18"/>
  <c r="CT65" i="18"/>
  <c r="CS65" i="18"/>
  <c r="CR65" i="18"/>
  <c r="CQ65" i="18"/>
  <c r="CP65" i="18"/>
  <c r="CO65" i="18"/>
  <c r="CN65" i="18"/>
  <c r="CM65" i="18"/>
  <c r="CL65" i="18"/>
  <c r="CK65" i="18"/>
  <c r="CJ65" i="18"/>
  <c r="CV64" i="18"/>
  <c r="CU64" i="18"/>
  <c r="CT64" i="18"/>
  <c r="CS64" i="18"/>
  <c r="CR64" i="18"/>
  <c r="CQ64" i="18"/>
  <c r="CP64" i="18"/>
  <c r="CO64" i="18"/>
  <c r="CN64" i="18"/>
  <c r="CM64" i="18"/>
  <c r="CL64" i="18"/>
  <c r="CK64" i="18"/>
  <c r="CJ64" i="18"/>
  <c r="CV63" i="18"/>
  <c r="CU63" i="18"/>
  <c r="CT63" i="18"/>
  <c r="CV62" i="18"/>
  <c r="CU62" i="18"/>
  <c r="CT62" i="18"/>
  <c r="CV61" i="18"/>
  <c r="CU61" i="18"/>
  <c r="CT61" i="18"/>
  <c r="CS61" i="18"/>
  <c r="CR61" i="18"/>
  <c r="CQ61" i="18"/>
  <c r="CP61" i="18"/>
  <c r="CO61" i="18"/>
  <c r="CN61" i="18"/>
  <c r="CM61" i="18"/>
  <c r="CL61" i="18"/>
  <c r="CK61" i="18"/>
  <c r="CJ61" i="18"/>
  <c r="CV60" i="18"/>
  <c r="CU60" i="18"/>
  <c r="CT60" i="18"/>
  <c r="CS60" i="18"/>
  <c r="CR60" i="18"/>
  <c r="CQ60" i="18"/>
  <c r="CP60" i="18"/>
  <c r="CO60" i="18"/>
  <c r="CN60" i="18"/>
  <c r="CM60" i="18"/>
  <c r="CL60" i="18"/>
  <c r="CK60" i="18"/>
  <c r="CJ60" i="18"/>
  <c r="CV59" i="18"/>
  <c r="CU59" i="18"/>
  <c r="CT59" i="18"/>
  <c r="CS59" i="18"/>
  <c r="CR59" i="18"/>
  <c r="CQ59" i="18"/>
  <c r="CP59" i="18"/>
  <c r="CO59" i="18"/>
  <c r="CN59" i="18"/>
  <c r="CM59" i="18"/>
  <c r="CL59" i="18"/>
  <c r="CK59" i="18"/>
  <c r="CJ59" i="18"/>
  <c r="CV57" i="18"/>
  <c r="CU57" i="18"/>
  <c r="CT57" i="18"/>
  <c r="CS57" i="18"/>
  <c r="CR57" i="18"/>
  <c r="CQ57" i="18"/>
  <c r="CP57" i="18"/>
  <c r="CO57" i="18"/>
  <c r="CN57" i="18"/>
  <c r="CM57" i="18"/>
  <c r="CL57" i="18"/>
  <c r="CK57" i="18"/>
  <c r="CJ57" i="18"/>
  <c r="CV56" i="18"/>
  <c r="CU56" i="18"/>
  <c r="CT56" i="18"/>
  <c r="CS56" i="18"/>
  <c r="CR56" i="18"/>
  <c r="CQ56" i="18"/>
  <c r="CP56" i="18"/>
  <c r="CO56" i="18"/>
  <c r="CN56" i="18"/>
  <c r="CM56" i="18"/>
  <c r="CL56" i="18"/>
  <c r="CK56" i="18"/>
  <c r="CJ56" i="18"/>
  <c r="CV55" i="18"/>
  <c r="CU55" i="18"/>
  <c r="CT55" i="18"/>
  <c r="CS55" i="18"/>
  <c r="CR55" i="18"/>
  <c r="CQ55" i="18"/>
  <c r="CP55" i="18"/>
  <c r="CO55" i="18"/>
  <c r="CN55" i="18"/>
  <c r="CM55" i="18"/>
  <c r="CL55" i="18"/>
  <c r="CK55" i="18"/>
  <c r="CJ55" i="18"/>
  <c r="CV54" i="18"/>
  <c r="CU54" i="18"/>
  <c r="CT54" i="18"/>
  <c r="CS54" i="18"/>
  <c r="CR54" i="18"/>
  <c r="CQ54" i="18"/>
  <c r="CP54" i="18"/>
  <c r="CO54" i="18"/>
  <c r="CN54" i="18"/>
  <c r="CM54" i="18"/>
  <c r="CL54" i="18"/>
  <c r="CK54" i="18"/>
  <c r="CJ54" i="18"/>
  <c r="CV53" i="18"/>
  <c r="CU53" i="18"/>
  <c r="CT53" i="18"/>
  <c r="CS53" i="18"/>
  <c r="CR53" i="18"/>
  <c r="CQ53" i="18"/>
  <c r="CP53" i="18"/>
  <c r="CO53" i="18"/>
  <c r="CN53" i="18"/>
  <c r="CM53" i="18"/>
  <c r="CL53" i="18"/>
  <c r="CK53" i="18"/>
  <c r="CJ53" i="18"/>
  <c r="CV52" i="18"/>
  <c r="CU52" i="18"/>
  <c r="CT52" i="18"/>
  <c r="CS52" i="18"/>
  <c r="CR52" i="18"/>
  <c r="CQ52" i="18"/>
  <c r="CP52" i="18"/>
  <c r="CO52" i="18"/>
  <c r="CN52" i="18"/>
  <c r="CM52" i="18"/>
  <c r="CL52" i="18"/>
  <c r="CK52" i="18"/>
  <c r="CJ52" i="18"/>
  <c r="CV50" i="18"/>
  <c r="CU50" i="18"/>
  <c r="CT50" i="18"/>
  <c r="CS50" i="18"/>
  <c r="CR50" i="18"/>
  <c r="CP50" i="18"/>
  <c r="CO50" i="18"/>
  <c r="CN50" i="18"/>
  <c r="CM50" i="18"/>
  <c r="CL50" i="18"/>
  <c r="CK50" i="18"/>
  <c r="CJ50" i="18"/>
  <c r="CV49" i="18"/>
  <c r="CU49" i="18"/>
  <c r="CT49" i="18"/>
  <c r="CS49" i="18"/>
  <c r="CR49" i="18"/>
  <c r="CP49" i="18"/>
  <c r="CO49" i="18"/>
  <c r="CN49" i="18"/>
  <c r="CM49" i="18"/>
  <c r="CL49" i="18"/>
  <c r="CK49" i="18"/>
  <c r="CJ49" i="18"/>
  <c r="CV48" i="18"/>
  <c r="CU48" i="18"/>
  <c r="CT48" i="18"/>
  <c r="CS48" i="18"/>
  <c r="CR48" i="18"/>
  <c r="CP48" i="18"/>
  <c r="CO48" i="18"/>
  <c r="CN48" i="18"/>
  <c r="CM48" i="18"/>
  <c r="CL48" i="18"/>
  <c r="CK48" i="18"/>
  <c r="CJ48" i="18"/>
  <c r="CV47" i="18"/>
  <c r="CU47" i="18"/>
  <c r="CT47" i="18"/>
  <c r="CS47" i="18"/>
  <c r="CR47" i="18"/>
  <c r="CP47" i="18"/>
  <c r="CO47" i="18"/>
  <c r="CN47" i="18"/>
  <c r="CM47" i="18"/>
  <c r="CL47" i="18"/>
  <c r="CK47" i="18"/>
  <c r="CJ47" i="18"/>
  <c r="CV46" i="18"/>
  <c r="CU46" i="18"/>
  <c r="CT46" i="18"/>
  <c r="CS46" i="18"/>
  <c r="CR46" i="18"/>
  <c r="CP46" i="18"/>
  <c r="CO46" i="18"/>
  <c r="CN46" i="18"/>
  <c r="CM46" i="18"/>
  <c r="CL46" i="18"/>
  <c r="CK46" i="18"/>
  <c r="CJ46" i="18"/>
  <c r="CV45" i="18"/>
  <c r="CU45" i="18"/>
  <c r="CT45" i="18"/>
  <c r="CS45" i="18"/>
  <c r="CR45" i="18"/>
  <c r="CP45" i="18"/>
  <c r="CO45" i="18"/>
  <c r="CN45" i="18"/>
  <c r="CM45" i="18"/>
  <c r="CL45" i="18"/>
  <c r="CK45" i="18"/>
  <c r="CJ45" i="18"/>
  <c r="CV44" i="18"/>
  <c r="CU44" i="18"/>
  <c r="CT44" i="18"/>
  <c r="CS44" i="18"/>
  <c r="CR44" i="18"/>
  <c r="CP44" i="18"/>
  <c r="CO44" i="18"/>
  <c r="CN44" i="18"/>
  <c r="CM44" i="18"/>
  <c r="CL44" i="18"/>
  <c r="CK44" i="18"/>
  <c r="CJ44" i="18"/>
  <c r="CV42" i="18"/>
  <c r="CU42" i="18"/>
  <c r="CT42" i="18"/>
  <c r="CS42" i="18"/>
  <c r="CR42" i="18"/>
  <c r="CP42" i="18"/>
  <c r="CO42" i="18"/>
  <c r="CN42" i="18"/>
  <c r="CM42" i="18"/>
  <c r="CL42" i="18"/>
  <c r="CK42" i="18"/>
  <c r="CJ42" i="18"/>
  <c r="CV41" i="18"/>
  <c r="CU41" i="18"/>
  <c r="CT41" i="18"/>
  <c r="CS41" i="18"/>
  <c r="CR41" i="18"/>
  <c r="CP41" i="18"/>
  <c r="CO41" i="18"/>
  <c r="CN41" i="18"/>
  <c r="CM41" i="18"/>
  <c r="CL41" i="18"/>
  <c r="CK41" i="18"/>
  <c r="CJ41" i="18"/>
  <c r="CV40" i="18"/>
  <c r="CU40" i="18"/>
  <c r="CT40" i="18"/>
  <c r="CS40" i="18"/>
  <c r="CR40" i="18"/>
  <c r="CP40" i="18"/>
  <c r="CO40" i="18"/>
  <c r="CN40" i="18"/>
  <c r="CM40" i="18"/>
  <c r="CL40" i="18"/>
  <c r="CK40" i="18"/>
  <c r="CJ40" i="18"/>
  <c r="CV39" i="18"/>
  <c r="CU39" i="18"/>
  <c r="CT39" i="18"/>
  <c r="CS39" i="18"/>
  <c r="CR39" i="18"/>
  <c r="CP39" i="18"/>
  <c r="CO39" i="18"/>
  <c r="CN39" i="18"/>
  <c r="CM39" i="18"/>
  <c r="CL39" i="18"/>
  <c r="CK39" i="18"/>
  <c r="CJ39" i="18"/>
  <c r="CV38" i="18"/>
  <c r="CU38" i="18"/>
  <c r="CT38" i="18"/>
  <c r="CS38" i="18"/>
  <c r="CR38" i="18"/>
  <c r="CP38" i="18"/>
  <c r="CO38" i="18"/>
  <c r="CN38" i="18"/>
  <c r="CM38" i="18"/>
  <c r="CL38" i="18"/>
  <c r="CK38" i="18"/>
  <c r="CJ38" i="18"/>
  <c r="CV37" i="18"/>
  <c r="CU37" i="18"/>
  <c r="CT37" i="18"/>
  <c r="CS37" i="18"/>
  <c r="CR37" i="18"/>
  <c r="CP37" i="18"/>
  <c r="CO37" i="18"/>
  <c r="CN37" i="18"/>
  <c r="CM37" i="18"/>
  <c r="CL37" i="18"/>
  <c r="CK37" i="18"/>
  <c r="CJ37" i="18"/>
  <c r="CV36" i="18"/>
  <c r="CU36" i="18"/>
  <c r="CT36" i="18"/>
  <c r="CS36" i="18"/>
  <c r="CR36" i="18"/>
  <c r="CP36" i="18"/>
  <c r="CO36" i="18"/>
  <c r="CN36" i="18"/>
  <c r="CM36" i="18"/>
  <c r="CL36" i="18"/>
  <c r="CK36" i="18"/>
  <c r="CJ36" i="18"/>
  <c r="CV35" i="18"/>
  <c r="CU35" i="18"/>
  <c r="CT35" i="18"/>
  <c r="CS35" i="18"/>
  <c r="CR35" i="18"/>
  <c r="CQ35" i="18"/>
  <c r="CP35" i="18"/>
  <c r="CO35" i="18"/>
  <c r="CN35" i="18"/>
  <c r="CM35" i="18"/>
  <c r="CL35" i="18"/>
  <c r="CK35" i="18"/>
  <c r="CJ35" i="18"/>
  <c r="CV31" i="18"/>
  <c r="CU31" i="18"/>
  <c r="CT31" i="18"/>
  <c r="CS31" i="18"/>
  <c r="CR31" i="18"/>
  <c r="CQ31" i="18"/>
  <c r="CP31" i="18"/>
  <c r="CO31" i="18"/>
  <c r="CN31" i="18"/>
  <c r="CM31" i="18"/>
  <c r="CL31" i="18"/>
  <c r="CK31" i="18"/>
  <c r="CJ31" i="18"/>
  <c r="CV30" i="18"/>
  <c r="CU30" i="18"/>
  <c r="CT30" i="18"/>
  <c r="CS30" i="18"/>
  <c r="CR30" i="18"/>
  <c r="CQ30" i="18"/>
  <c r="CP30" i="18"/>
  <c r="CO30" i="18"/>
  <c r="CN30" i="18"/>
  <c r="CM30" i="18"/>
  <c r="CL30" i="18"/>
  <c r="CK30" i="18"/>
  <c r="CJ30" i="18"/>
  <c r="CV29" i="18"/>
  <c r="CU29" i="18"/>
  <c r="CT29" i="18"/>
  <c r="CS29" i="18"/>
  <c r="CR29" i="18"/>
  <c r="CQ29" i="18"/>
  <c r="CP29" i="18"/>
  <c r="CO29" i="18"/>
  <c r="CN29" i="18"/>
  <c r="CM29" i="18"/>
  <c r="CL29" i="18"/>
  <c r="CK29" i="18"/>
  <c r="CJ29" i="18"/>
  <c r="CV28" i="18"/>
  <c r="CU28" i="18"/>
  <c r="CT28" i="18"/>
  <c r="CS28" i="18"/>
  <c r="CR28" i="18"/>
  <c r="CQ28" i="18"/>
  <c r="CP28" i="18"/>
  <c r="CO28" i="18"/>
  <c r="CN28" i="18"/>
  <c r="CM28" i="18"/>
  <c r="CL28" i="18"/>
  <c r="CK28" i="18"/>
  <c r="CJ28" i="18"/>
  <c r="CV27" i="18"/>
  <c r="CU27" i="18"/>
  <c r="CT27" i="18"/>
  <c r="CS27" i="18"/>
  <c r="CR27" i="18"/>
  <c r="CQ27" i="18"/>
  <c r="CP27" i="18"/>
  <c r="CO27" i="18"/>
  <c r="CN27" i="18"/>
  <c r="CM27" i="18"/>
  <c r="CL27" i="18"/>
  <c r="CK27" i="18"/>
  <c r="CJ27" i="18"/>
  <c r="CV26" i="18"/>
  <c r="CU26" i="18"/>
  <c r="CT26" i="18"/>
  <c r="CS26" i="18"/>
  <c r="CR26" i="18"/>
  <c r="CQ26" i="18"/>
  <c r="CP26" i="18"/>
  <c r="CO26" i="18"/>
  <c r="CN26" i="18"/>
  <c r="CM26" i="18"/>
  <c r="CL26" i="18"/>
  <c r="CK26" i="18"/>
  <c r="CJ26" i="18"/>
  <c r="CV25" i="18"/>
  <c r="CU25" i="18"/>
  <c r="CT25" i="18"/>
  <c r="CS25" i="18"/>
  <c r="CR25" i="18"/>
  <c r="CQ25" i="18"/>
  <c r="CP25" i="18"/>
  <c r="CO25" i="18"/>
  <c r="CN25" i="18"/>
  <c r="CM25" i="18"/>
  <c r="CL25" i="18"/>
  <c r="CK25" i="18"/>
  <c r="CJ25" i="18"/>
  <c r="CV24" i="18"/>
  <c r="CU24" i="18"/>
  <c r="CT24" i="18"/>
  <c r="CS24" i="18"/>
  <c r="CR24" i="18"/>
  <c r="CQ24" i="18"/>
  <c r="CP24" i="18"/>
  <c r="CO24" i="18"/>
  <c r="CN24" i="18"/>
  <c r="CM24" i="18"/>
  <c r="CL24" i="18"/>
  <c r="CK24" i="18"/>
  <c r="CJ24" i="18"/>
  <c r="CV23" i="18"/>
  <c r="CU23" i="18"/>
  <c r="CT23" i="18"/>
  <c r="CS23" i="18"/>
  <c r="CR23" i="18"/>
  <c r="CQ23" i="18"/>
  <c r="CP23" i="18"/>
  <c r="CO23" i="18"/>
  <c r="CN23" i="18"/>
  <c r="CM23" i="18"/>
  <c r="CL23" i="18"/>
  <c r="CK23" i="18"/>
  <c r="CJ23" i="18"/>
  <c r="CV22" i="18"/>
  <c r="CU22" i="18"/>
  <c r="CT22" i="18"/>
  <c r="CS22" i="18"/>
  <c r="CR22" i="18"/>
  <c r="CQ22" i="18"/>
  <c r="CP22" i="18"/>
  <c r="CO22" i="18"/>
  <c r="CN22" i="18"/>
  <c r="CM22" i="18"/>
  <c r="CL22" i="18"/>
  <c r="CK22" i="18"/>
  <c r="CJ22" i="18"/>
  <c r="CV21" i="18"/>
  <c r="CU21" i="18"/>
  <c r="CT21" i="18"/>
  <c r="CS21" i="18"/>
  <c r="CR21" i="18"/>
  <c r="CQ21" i="18"/>
  <c r="CP21" i="18"/>
  <c r="CO21" i="18"/>
  <c r="CN21" i="18"/>
  <c r="CM21" i="18"/>
  <c r="CL21" i="18"/>
  <c r="CK21" i="18"/>
  <c r="CJ21" i="18"/>
  <c r="CV20" i="18"/>
  <c r="CU20" i="18"/>
  <c r="CT20" i="18"/>
  <c r="CS20" i="18"/>
  <c r="CR20" i="18"/>
  <c r="CQ20" i="18"/>
  <c r="CP20" i="18"/>
  <c r="CO20" i="18"/>
  <c r="CN20" i="18"/>
  <c r="CM20" i="18"/>
  <c r="CL20" i="18"/>
  <c r="CK20" i="18"/>
  <c r="CJ20" i="18"/>
  <c r="CV19" i="18"/>
  <c r="CP19" i="18"/>
  <c r="CV18" i="18"/>
  <c r="CU18" i="18"/>
  <c r="CT18" i="18"/>
  <c r="CS18" i="18"/>
  <c r="CR18" i="18"/>
  <c r="CP18" i="18"/>
  <c r="CO18" i="18"/>
  <c r="CN18" i="18"/>
  <c r="CM18" i="18"/>
  <c r="CL18" i="18"/>
  <c r="CK18" i="18"/>
  <c r="CJ18" i="18"/>
  <c r="CV17" i="18"/>
  <c r="CU17" i="18"/>
  <c r="CT17" i="18"/>
  <c r="CS17" i="18"/>
  <c r="CR17" i="18"/>
  <c r="CP17" i="18"/>
  <c r="CO17" i="18"/>
  <c r="CN17" i="18"/>
  <c r="CM17" i="18"/>
  <c r="CL17" i="18"/>
  <c r="CK17" i="18"/>
  <c r="CJ17" i="18"/>
  <c r="CV16" i="18"/>
  <c r="CU16" i="18"/>
  <c r="CT16" i="18"/>
  <c r="CS16" i="18"/>
  <c r="CR16" i="18"/>
  <c r="CP16" i="18"/>
  <c r="CO16" i="18"/>
  <c r="CN16" i="18"/>
  <c r="CM16" i="18"/>
  <c r="CL16" i="18"/>
  <c r="CK16" i="18"/>
  <c r="CJ16" i="18"/>
  <c r="CV15" i="18"/>
  <c r="CU15" i="18"/>
  <c r="CT15" i="18"/>
  <c r="CS15" i="18"/>
  <c r="CR15" i="18"/>
  <c r="CP15" i="18"/>
  <c r="CO15" i="18"/>
  <c r="CN15" i="18"/>
  <c r="CM15" i="18"/>
  <c r="CL15" i="18"/>
  <c r="CK15" i="18"/>
  <c r="CJ15" i="18"/>
  <c r="CV10" i="18"/>
  <c r="CU10" i="18"/>
  <c r="CT10" i="18"/>
  <c r="CS10" i="18"/>
  <c r="CR10" i="18"/>
  <c r="CQ10" i="18"/>
  <c r="CP10" i="18"/>
  <c r="CO10" i="18"/>
  <c r="CN10" i="18"/>
  <c r="CM10" i="18"/>
  <c r="CL10" i="18"/>
  <c r="CK10" i="18"/>
  <c r="CJ10" i="18"/>
  <c r="CV9" i="18"/>
  <c r="CU9" i="18"/>
  <c r="CT9" i="18"/>
  <c r="R3" i="18"/>
  <c r="AS158" i="5"/>
  <c r="V162" i="5"/>
  <c r="Y162" i="5" s="1"/>
  <c r="O162" i="5" s="1"/>
  <c r="K162" i="18" s="1"/>
  <c r="V161" i="5"/>
  <c r="V160" i="5"/>
  <c r="Y160" i="5" s="1"/>
  <c r="O160" i="5" s="1"/>
  <c r="K160" i="18" s="1"/>
  <c r="V159" i="5"/>
  <c r="Y159" i="5" s="1"/>
  <c r="O159" i="5" s="1"/>
  <c r="K159" i="18" s="1"/>
  <c r="V156" i="5"/>
  <c r="AS165" i="5"/>
  <c r="H223" i="13"/>
  <c r="V164" i="5"/>
  <c r="Y164" i="5" s="1"/>
  <c r="O164" i="5" s="1"/>
  <c r="K164" i="18" s="1"/>
  <c r="F191" i="13"/>
  <c r="K182" i="13"/>
  <c r="F182" i="13"/>
  <c r="K181" i="13"/>
  <c r="F181" i="13"/>
  <c r="K180" i="13"/>
  <c r="F180" i="13"/>
  <c r="K179" i="13"/>
  <c r="F179" i="13"/>
  <c r="K178" i="13"/>
  <c r="F178" i="13"/>
  <c r="K173" i="13"/>
  <c r="F173" i="13"/>
  <c r="K172" i="13"/>
  <c r="F172" i="13"/>
  <c r="K171" i="13"/>
  <c r="F171" i="13"/>
  <c r="K170" i="13"/>
  <c r="F170" i="13"/>
  <c r="K169" i="13"/>
  <c r="F169" i="13"/>
  <c r="Y161" i="5" l="1"/>
  <c r="O161" i="5" s="1"/>
  <c r="K161" i="18" s="1"/>
  <c r="F208" i="13"/>
  <c r="F213" i="13" s="1"/>
  <c r="K190" i="13"/>
  <c r="K187" i="13"/>
  <c r="K191" i="13"/>
  <c r="K188" i="13"/>
  <c r="K189" i="13"/>
  <c r="F188" i="13"/>
  <c r="F190" i="13"/>
  <c r="V163" i="5"/>
  <c r="F187" i="13"/>
  <c r="F189" i="13"/>
  <c r="F211" i="13" l="1"/>
  <c r="Y163" i="5"/>
  <c r="O163" i="5" s="1"/>
  <c r="K163" i="18" s="1"/>
  <c r="F212" i="13"/>
  <c r="F209" i="13"/>
  <c r="F210" i="13"/>
  <c r="V165" i="5"/>
  <c r="Y165" i="5" s="1"/>
  <c r="N84" i="20" l="1"/>
  <c r="N85" i="20"/>
  <c r="I121" i="6" l="1"/>
  <c r="E76" i="17" l="1"/>
  <c r="E75" i="17"/>
  <c r="F235" i="15" l="1"/>
  <c r="E235" i="15"/>
  <c r="D235" i="15"/>
  <c r="AA218" i="15"/>
  <c r="Z218" i="15"/>
  <c r="Y218" i="15"/>
  <c r="X218" i="15"/>
  <c r="W218" i="15"/>
  <c r="V218" i="15"/>
  <c r="U218" i="15"/>
  <c r="T218" i="15"/>
  <c r="AA217" i="15"/>
  <c r="Z217" i="15"/>
  <c r="Y217" i="15"/>
  <c r="X217" i="15"/>
  <c r="W217" i="15"/>
  <c r="V217" i="15"/>
  <c r="U217" i="15"/>
  <c r="T217" i="15"/>
  <c r="H208" i="15"/>
  <c r="H207" i="15"/>
  <c r="G206" i="15"/>
  <c r="H206" i="15" s="1"/>
  <c r="O188" i="15"/>
  <c r="Q143" i="15"/>
  <c r="O143" i="15"/>
  <c r="M143" i="15"/>
  <c r="Q142" i="15"/>
  <c r="O142" i="15"/>
  <c r="M142" i="15"/>
  <c r="Q141" i="15"/>
  <c r="O141" i="15"/>
  <c r="M141" i="15"/>
  <c r="Q140" i="15"/>
  <c r="O140" i="15"/>
  <c r="M140" i="15"/>
  <c r="Q139" i="15"/>
  <c r="O139" i="15"/>
  <c r="M139" i="15"/>
  <c r="Q138" i="15"/>
  <c r="O138" i="15"/>
  <c r="M138" i="15"/>
  <c r="Q137" i="15"/>
  <c r="O137" i="15"/>
  <c r="M137" i="15"/>
  <c r="Q136" i="15"/>
  <c r="O136" i="15"/>
  <c r="M136" i="15"/>
  <c r="Q135" i="15"/>
  <c r="O135" i="15"/>
  <c r="M135" i="15"/>
  <c r="Q134" i="15"/>
  <c r="O134" i="15"/>
  <c r="M134" i="15"/>
  <c r="Q133" i="15"/>
  <c r="O133" i="15"/>
  <c r="M133" i="15"/>
  <c r="Q132" i="15"/>
  <c r="O132" i="15"/>
  <c r="M132" i="15"/>
  <c r="Q131" i="15"/>
  <c r="O131" i="15"/>
  <c r="M131" i="15"/>
  <c r="Q130" i="15"/>
  <c r="O130" i="15"/>
  <c r="M130" i="15"/>
  <c r="Q129" i="15"/>
  <c r="O129" i="15"/>
  <c r="M129" i="15"/>
  <c r="Q128" i="15"/>
  <c r="O128" i="15"/>
  <c r="M128" i="15"/>
  <c r="Q127" i="15"/>
  <c r="O127" i="15"/>
  <c r="M127" i="15"/>
  <c r="Q126" i="15"/>
  <c r="O126" i="15"/>
  <c r="M126" i="15"/>
  <c r="Q125" i="15"/>
  <c r="O125" i="15"/>
  <c r="M125" i="15"/>
  <c r="Q124" i="15"/>
  <c r="O124" i="15"/>
  <c r="M124" i="15"/>
  <c r="Q123" i="15"/>
  <c r="O123" i="15"/>
  <c r="M123" i="15"/>
  <c r="Q122" i="15"/>
  <c r="O122" i="15"/>
  <c r="M122" i="15"/>
  <c r="Q121" i="15"/>
  <c r="O121" i="15"/>
  <c r="M121" i="15"/>
  <c r="Q120" i="15"/>
  <c r="O120" i="15"/>
  <c r="M120" i="15"/>
  <c r="Q119" i="15"/>
  <c r="O119" i="15"/>
  <c r="M119" i="15"/>
  <c r="Q118" i="15"/>
  <c r="O118" i="15"/>
  <c r="M118" i="15"/>
  <c r="Q117" i="15"/>
  <c r="O117" i="15"/>
  <c r="M117" i="15"/>
  <c r="Q116" i="15"/>
  <c r="O116" i="15"/>
  <c r="M116" i="15"/>
  <c r="Q115" i="15"/>
  <c r="O115" i="15"/>
  <c r="M115" i="15"/>
  <c r="Q114" i="15"/>
  <c r="O114" i="15"/>
  <c r="M114" i="15"/>
  <c r="Q113" i="15"/>
  <c r="O113" i="15"/>
  <c r="M113" i="15"/>
  <c r="Q112" i="15"/>
  <c r="O112" i="15"/>
  <c r="M112" i="15"/>
  <c r="Q111" i="15"/>
  <c r="O111" i="15"/>
  <c r="M111" i="15"/>
  <c r="Q110" i="15"/>
  <c r="O110" i="15"/>
  <c r="M110" i="15"/>
  <c r="Q109" i="15"/>
  <c r="O109" i="15"/>
  <c r="M109" i="15"/>
  <c r="Q108" i="15"/>
  <c r="O108" i="15"/>
  <c r="M108" i="15"/>
  <c r="Q107" i="15"/>
  <c r="O107" i="15"/>
  <c r="M107" i="15"/>
  <c r="Q106" i="15"/>
  <c r="O106" i="15"/>
  <c r="M106" i="15"/>
  <c r="Q105" i="15"/>
  <c r="O105" i="15"/>
  <c r="M105" i="15"/>
  <c r="I101" i="15"/>
  <c r="P188" i="15" s="1"/>
  <c r="Q91" i="15"/>
  <c r="P91" i="15"/>
  <c r="O91" i="15"/>
  <c r="N91" i="15"/>
  <c r="M91" i="15"/>
  <c r="L91" i="15"/>
  <c r="K91" i="15"/>
  <c r="J91" i="15"/>
  <c r="I91" i="15"/>
  <c r="Q88" i="15"/>
  <c r="P88" i="15"/>
  <c r="O88" i="15"/>
  <c r="N88" i="15"/>
  <c r="M88" i="15"/>
  <c r="L88" i="15"/>
  <c r="K88" i="15"/>
  <c r="J88" i="15"/>
  <c r="I88" i="15"/>
  <c r="Q85" i="15"/>
  <c r="P85" i="15"/>
  <c r="O85" i="15"/>
  <c r="N85" i="15"/>
  <c r="M85" i="15"/>
  <c r="L85" i="15"/>
  <c r="K85" i="15"/>
  <c r="J85" i="15"/>
  <c r="I85" i="15"/>
  <c r="Q82" i="15"/>
  <c r="P82" i="15"/>
  <c r="O82" i="15"/>
  <c r="N82" i="15"/>
  <c r="M82" i="15"/>
  <c r="L82" i="15"/>
  <c r="K82" i="15"/>
  <c r="J82" i="15"/>
  <c r="I82" i="15"/>
  <c r="Q79" i="15"/>
  <c r="P79" i="15"/>
  <c r="O79" i="15"/>
  <c r="N79" i="15"/>
  <c r="M79" i="15"/>
  <c r="L79" i="15"/>
  <c r="K79" i="15"/>
  <c r="J79" i="15"/>
  <c r="I79" i="15"/>
  <c r="Q76" i="15"/>
  <c r="P76" i="15"/>
  <c r="O76" i="15"/>
  <c r="N76" i="15"/>
  <c r="M76" i="15"/>
  <c r="L76" i="15"/>
  <c r="K76" i="15"/>
  <c r="J76" i="15"/>
  <c r="I76" i="15"/>
  <c r="Q73" i="15"/>
  <c r="P73" i="15"/>
  <c r="O73" i="15"/>
  <c r="K73" i="15"/>
  <c r="J73" i="15"/>
  <c r="I73" i="15"/>
  <c r="Q70" i="15"/>
  <c r="P70" i="15"/>
  <c r="O70" i="15"/>
  <c r="N70" i="15"/>
  <c r="M70" i="15"/>
  <c r="L70" i="15"/>
  <c r="K70" i="15"/>
  <c r="J70" i="15"/>
  <c r="I70" i="15"/>
  <c r="Q67" i="15"/>
  <c r="P67" i="15"/>
  <c r="O67" i="15"/>
  <c r="N67" i="15"/>
  <c r="M67" i="15"/>
  <c r="L67" i="15"/>
  <c r="K67" i="15"/>
  <c r="J67" i="15"/>
  <c r="I67" i="15"/>
  <c r="H59" i="15"/>
  <c r="O59" i="15" s="1"/>
  <c r="H40" i="15"/>
  <c r="O40" i="15" s="1"/>
  <c r="H35" i="15"/>
  <c r="O35" i="15" s="1"/>
  <c r="G24" i="15"/>
  <c r="G30" i="15" s="1"/>
  <c r="G36" i="15" s="1"/>
  <c r="G42" i="15" s="1"/>
  <c r="G48" i="15" s="1"/>
  <c r="G54" i="15" s="1"/>
  <c r="G60" i="15" s="1"/>
  <c r="G20" i="15"/>
  <c r="G26" i="15" s="1"/>
  <c r="G32" i="15" s="1"/>
  <c r="G38" i="15" s="1"/>
  <c r="G44" i="15" s="1"/>
  <c r="G50" i="15" s="1"/>
  <c r="G56" i="15" s="1"/>
  <c r="G18" i="15"/>
  <c r="G17" i="15"/>
  <c r="G23" i="15" s="1"/>
  <c r="G29" i="15" s="1"/>
  <c r="G35" i="15" s="1"/>
  <c r="G41" i="15" s="1"/>
  <c r="G47" i="15" s="1"/>
  <c r="G53" i="15" s="1"/>
  <c r="G59" i="15" s="1"/>
  <c r="H16" i="15"/>
  <c r="O16" i="15" s="1"/>
  <c r="G16" i="15"/>
  <c r="G22" i="15" s="1"/>
  <c r="G28" i="15" s="1"/>
  <c r="G34" i="15" s="1"/>
  <c r="G40" i="15" s="1"/>
  <c r="G46" i="15" s="1"/>
  <c r="G52" i="15" s="1"/>
  <c r="G58" i="15" s="1"/>
  <c r="G15" i="15"/>
  <c r="G21" i="15" s="1"/>
  <c r="G27" i="15" s="1"/>
  <c r="G33" i="15" s="1"/>
  <c r="G39" i="15" s="1"/>
  <c r="G45" i="15" s="1"/>
  <c r="G51" i="15" s="1"/>
  <c r="G57" i="15" s="1"/>
  <c r="G14" i="15"/>
  <c r="G13" i="15"/>
  <c r="G19" i="15" s="1"/>
  <c r="G25" i="15" s="1"/>
  <c r="G31" i="15" s="1"/>
  <c r="G37" i="15" s="1"/>
  <c r="G43" i="15" s="1"/>
  <c r="G49" i="15" s="1"/>
  <c r="G55" i="15" s="1"/>
  <c r="D7" i="17"/>
  <c r="E7" i="17" s="1"/>
  <c r="F3" i="17"/>
  <c r="F2" i="17"/>
  <c r="D64" i="16"/>
  <c r="E43" i="16"/>
  <c r="D43" i="16"/>
  <c r="E42" i="16"/>
  <c r="D42" i="16"/>
  <c r="E41" i="16"/>
  <c r="D41" i="16"/>
  <c r="E39" i="16"/>
  <c r="D39" i="16"/>
  <c r="E38" i="16"/>
  <c r="D38" i="16"/>
  <c r="E36" i="16"/>
  <c r="D36" i="16"/>
  <c r="D7" i="16"/>
  <c r="E7" i="16" s="1"/>
  <c r="F3" i="16"/>
  <c r="F2" i="16"/>
  <c r="L194" i="18"/>
  <c r="L193" i="18"/>
  <c r="L191" i="18"/>
  <c r="L190" i="18"/>
  <c r="L189" i="18"/>
  <c r="CA183" i="18"/>
  <c r="CS183" i="18" s="1"/>
  <c r="BZ183" i="18"/>
  <c r="CR183" i="18" s="1"/>
  <c r="BY183" i="18"/>
  <c r="CQ183" i="18" s="1"/>
  <c r="BX183" i="18"/>
  <c r="CP183" i="18" s="1"/>
  <c r="BW183" i="18"/>
  <c r="CO183" i="18" s="1"/>
  <c r="BV183" i="18"/>
  <c r="CN183" i="18" s="1"/>
  <c r="BU183" i="18"/>
  <c r="CM183" i="18" s="1"/>
  <c r="BT183" i="18"/>
  <c r="CL183" i="18" s="1"/>
  <c r="BS183" i="18"/>
  <c r="CK183" i="18" s="1"/>
  <c r="BR183" i="18"/>
  <c r="BJ183" i="18"/>
  <c r="BI183" i="18"/>
  <c r="BH183" i="18"/>
  <c r="BG183" i="18"/>
  <c r="BF183" i="18"/>
  <c r="BE183" i="18"/>
  <c r="BD183" i="18"/>
  <c r="BC183" i="18"/>
  <c r="BB183" i="18"/>
  <c r="BA183" i="18"/>
  <c r="CA174" i="18"/>
  <c r="CS174" i="18" s="1"/>
  <c r="BZ174" i="18"/>
  <c r="CR174" i="18" s="1"/>
  <c r="BY174" i="18"/>
  <c r="CQ174" i="18" s="1"/>
  <c r="BX174" i="18"/>
  <c r="CP174" i="18" s="1"/>
  <c r="BW174" i="18"/>
  <c r="CO174" i="18" s="1"/>
  <c r="BV174" i="18"/>
  <c r="CN174" i="18" s="1"/>
  <c r="BU174" i="18"/>
  <c r="CM174" i="18" s="1"/>
  <c r="BT174" i="18"/>
  <c r="CL174" i="18" s="1"/>
  <c r="BS174" i="18"/>
  <c r="CK174" i="18" s="1"/>
  <c r="BR174" i="18"/>
  <c r="CJ174" i="18" s="1"/>
  <c r="BJ174" i="18"/>
  <c r="BI174" i="18"/>
  <c r="BH174" i="18"/>
  <c r="BG174" i="18"/>
  <c r="BF174" i="18"/>
  <c r="BE174" i="18"/>
  <c r="BD174" i="18"/>
  <c r="BC174" i="18"/>
  <c r="BB174" i="18"/>
  <c r="BA174" i="18"/>
  <c r="CA173" i="18"/>
  <c r="CS173" i="18" s="1"/>
  <c r="BZ173" i="18"/>
  <c r="CR173" i="18" s="1"/>
  <c r="BY173" i="18"/>
  <c r="CQ173" i="18" s="1"/>
  <c r="BX173" i="18"/>
  <c r="CP173" i="18" s="1"/>
  <c r="BW173" i="18"/>
  <c r="CO173" i="18" s="1"/>
  <c r="BV173" i="18"/>
  <c r="CN173" i="18" s="1"/>
  <c r="BU173" i="18"/>
  <c r="CM173" i="18" s="1"/>
  <c r="BT173" i="18"/>
  <c r="CL173" i="18" s="1"/>
  <c r="BS173" i="18"/>
  <c r="CK173" i="18" s="1"/>
  <c r="BR173" i="18"/>
  <c r="CJ173" i="18" s="1"/>
  <c r="BJ173" i="18"/>
  <c r="BI173" i="18"/>
  <c r="BH173" i="18"/>
  <c r="BG173" i="18"/>
  <c r="BF173" i="18"/>
  <c r="BE173" i="18"/>
  <c r="BD173" i="18"/>
  <c r="BC173" i="18"/>
  <c r="BB173" i="18"/>
  <c r="BA173" i="18"/>
  <c r="L157" i="18"/>
  <c r="CF139" i="18"/>
  <c r="CF138" i="18"/>
  <c r="CF137" i="18"/>
  <c r="CF136" i="18"/>
  <c r="CF135" i="18"/>
  <c r="CF134" i="18"/>
  <c r="CF133" i="18"/>
  <c r="CF132" i="18"/>
  <c r="H120" i="18"/>
  <c r="H99" i="18"/>
  <c r="L43" i="18"/>
  <c r="L9" i="18"/>
  <c r="AD8" i="18"/>
  <c r="AC8" i="18"/>
  <c r="X8" i="18"/>
  <c r="W8" i="18"/>
  <c r="Q3" i="18"/>
  <c r="P3" i="18"/>
  <c r="H127" i="6"/>
  <c r="H125" i="6"/>
  <c r="R25" i="6"/>
  <c r="R24" i="6"/>
  <c r="S23" i="6"/>
  <c r="R23" i="6"/>
  <c r="S22" i="6"/>
  <c r="R22" i="6"/>
  <c r="F22" i="6"/>
  <c r="H41" i="15" s="1"/>
  <c r="U21" i="6"/>
  <c r="T21" i="6"/>
  <c r="S21" i="6"/>
  <c r="R21" i="6"/>
  <c r="F21" i="6"/>
  <c r="H46" i="15" s="1"/>
  <c r="S20" i="6"/>
  <c r="R20" i="6"/>
  <c r="F20" i="6"/>
  <c r="S19" i="6"/>
  <c r="R19" i="6"/>
  <c r="R18" i="6"/>
  <c r="N18" i="6"/>
  <c r="S17" i="6"/>
  <c r="R17" i="6"/>
  <c r="N17" i="6"/>
  <c r="S16" i="6"/>
  <c r="R16" i="6"/>
  <c r="N16" i="6"/>
  <c r="R15" i="6"/>
  <c r="N15" i="6"/>
  <c r="S14" i="6"/>
  <c r="R14" i="6"/>
  <c r="N14" i="6"/>
  <c r="S13" i="6"/>
  <c r="R13" i="6"/>
  <c r="N13" i="6"/>
  <c r="S12" i="6"/>
  <c r="R12" i="6"/>
  <c r="N12" i="6"/>
  <c r="AA11" i="6"/>
  <c r="S11" i="6"/>
  <c r="R11" i="6"/>
  <c r="N11" i="6"/>
  <c r="R10" i="6"/>
  <c r="S9" i="6"/>
  <c r="R9" i="6"/>
  <c r="R8" i="6"/>
  <c r="N3" i="6"/>
  <c r="B3" i="6"/>
  <c r="N2" i="6"/>
  <c r="B2" i="6"/>
  <c r="F239" i="14"/>
  <c r="F238" i="14"/>
  <c r="F237" i="14"/>
  <c r="F236" i="14"/>
  <c r="F235" i="14"/>
  <c r="H230" i="14"/>
  <c r="F216" i="14" s="1"/>
  <c r="F210" i="14"/>
  <c r="F209" i="14"/>
  <c r="F208" i="14"/>
  <c r="F207" i="14"/>
  <c r="F206" i="14"/>
  <c r="H201" i="14"/>
  <c r="F188" i="14" s="1"/>
  <c r="F192" i="14" s="1"/>
  <c r="F193" i="14"/>
  <c r="F190" i="14"/>
  <c r="F184" i="14"/>
  <c r="F183" i="14"/>
  <c r="F182" i="14"/>
  <c r="F181" i="14"/>
  <c r="F180" i="14"/>
  <c r="F174" i="14"/>
  <c r="F173" i="14"/>
  <c r="F172" i="14"/>
  <c r="F171" i="14"/>
  <c r="F170" i="14"/>
  <c r="F155" i="14"/>
  <c r="F154" i="14"/>
  <c r="F153" i="14"/>
  <c r="F152" i="14"/>
  <c r="F151" i="14"/>
  <c r="F129" i="14"/>
  <c r="F128" i="14"/>
  <c r="F127" i="14"/>
  <c r="F126" i="14"/>
  <c r="F125" i="14"/>
  <c r="H118" i="14"/>
  <c r="F103" i="14" s="1"/>
  <c r="V181" i="5" s="1"/>
  <c r="H99" i="14"/>
  <c r="F83" i="14" s="1"/>
  <c r="F79" i="14"/>
  <c r="F78" i="14"/>
  <c r="F77" i="14"/>
  <c r="F76" i="14"/>
  <c r="F75" i="14"/>
  <c r="F70" i="14"/>
  <c r="F69" i="14"/>
  <c r="F68" i="14"/>
  <c r="F67" i="14"/>
  <c r="F66" i="14"/>
  <c r="H60" i="14"/>
  <c r="F31" i="14" s="1"/>
  <c r="F27" i="14"/>
  <c r="F26" i="14"/>
  <c r="F25" i="14"/>
  <c r="F24" i="14"/>
  <c r="F23" i="14"/>
  <c r="U5" i="14"/>
  <c r="U4" i="14"/>
  <c r="U3" i="14"/>
  <c r="O3" i="14"/>
  <c r="N1" i="14"/>
  <c r="F276" i="13"/>
  <c r="F275" i="13"/>
  <c r="F274" i="13"/>
  <c r="F273" i="13"/>
  <c r="F272" i="13"/>
  <c r="K267" i="13"/>
  <c r="F267" i="13"/>
  <c r="K266" i="13"/>
  <c r="F266" i="13"/>
  <c r="K265" i="13"/>
  <c r="F265" i="13"/>
  <c r="K264" i="13"/>
  <c r="F264" i="13"/>
  <c r="K263" i="13"/>
  <c r="F263" i="13"/>
  <c r="K235" i="13"/>
  <c r="F228" i="13" s="1"/>
  <c r="G160" i="13"/>
  <c r="K159" i="13"/>
  <c r="F148" i="13"/>
  <c r="F147" i="13"/>
  <c r="F146" i="13"/>
  <c r="F145" i="13"/>
  <c r="F144" i="13"/>
  <c r="F90" i="13"/>
  <c r="F89" i="13"/>
  <c r="F88" i="13"/>
  <c r="F87" i="13"/>
  <c r="F86" i="13"/>
  <c r="F65" i="13"/>
  <c r="F64" i="13"/>
  <c r="F63" i="13"/>
  <c r="F62" i="13"/>
  <c r="F61" i="13"/>
  <c r="F56" i="13"/>
  <c r="F55" i="13"/>
  <c r="F54" i="13"/>
  <c r="F53" i="13"/>
  <c r="F52" i="13"/>
  <c r="H46" i="13"/>
  <c r="F29" i="13" s="1"/>
  <c r="M34" i="13"/>
  <c r="M33" i="13"/>
  <c r="M32" i="13"/>
  <c r="M31" i="13"/>
  <c r="M30" i="13"/>
  <c r="K23" i="13"/>
  <c r="F23" i="13"/>
  <c r="K22" i="13"/>
  <c r="F22" i="13"/>
  <c r="K21" i="13"/>
  <c r="F21" i="13"/>
  <c r="K20" i="13"/>
  <c r="F20" i="13"/>
  <c r="K19" i="13"/>
  <c r="F19" i="13"/>
  <c r="F13" i="13"/>
  <c r="F12" i="13"/>
  <c r="F11" i="13"/>
  <c r="F10" i="13"/>
  <c r="F9" i="13"/>
  <c r="U5" i="13"/>
  <c r="U4" i="13"/>
  <c r="U3" i="13"/>
  <c r="O3" i="13"/>
  <c r="M1" i="13"/>
  <c r="H121" i="6"/>
  <c r="L118" i="20"/>
  <c r="M117" i="20"/>
  <c r="N117" i="20" s="1"/>
  <c r="H110" i="20"/>
  <c r="G93" i="20"/>
  <c r="F127" i="6"/>
  <c r="L127" i="6" s="1"/>
  <c r="J16" i="20"/>
  <c r="L16" i="11" s="1"/>
  <c r="L22" i="11" s="1"/>
  <c r="J6" i="20"/>
  <c r="N2" i="20"/>
  <c r="K136" i="11"/>
  <c r="K135" i="11"/>
  <c r="K134" i="11"/>
  <c r="K133" i="11"/>
  <c r="K132" i="11"/>
  <c r="K106" i="11"/>
  <c r="F106" i="11"/>
  <c r="K105" i="11"/>
  <c r="F105" i="11"/>
  <c r="K104" i="11"/>
  <c r="F104" i="11"/>
  <c r="K103" i="11"/>
  <c r="F103" i="11"/>
  <c r="K102" i="11"/>
  <c r="F102" i="11"/>
  <c r="F92" i="11"/>
  <c r="F91" i="11"/>
  <c r="F90" i="11"/>
  <c r="F89" i="11"/>
  <c r="F88" i="11"/>
  <c r="F81" i="11"/>
  <c r="F80" i="11"/>
  <c r="F79" i="11"/>
  <c r="F78" i="11"/>
  <c r="F77" i="11"/>
  <c r="F66" i="11"/>
  <c r="L33" i="11"/>
  <c r="L32" i="11"/>
  <c r="L31" i="11"/>
  <c r="L30" i="11"/>
  <c r="L29" i="11"/>
  <c r="G32" i="11"/>
  <c r="F14" i="11"/>
  <c r="F13" i="11"/>
  <c r="F12" i="11"/>
  <c r="F11" i="11"/>
  <c r="F10" i="11"/>
  <c r="U5" i="11"/>
  <c r="U4" i="11"/>
  <c r="U3" i="11"/>
  <c r="O3" i="11"/>
  <c r="N1" i="11"/>
  <c r="H111" i="10"/>
  <c r="F87" i="10" s="1"/>
  <c r="F90" i="10" s="1"/>
  <c r="H83" i="10"/>
  <c r="F56" i="10" s="1"/>
  <c r="F58" i="10" s="1"/>
  <c r="H51" i="10"/>
  <c r="F34" i="10" s="1"/>
  <c r="H30" i="10"/>
  <c r="F7" i="10" s="1"/>
  <c r="U5" i="10"/>
  <c r="U4" i="10"/>
  <c r="U3" i="10"/>
  <c r="O3" i="10"/>
  <c r="N1" i="10"/>
  <c r="K395" i="9"/>
  <c r="F395" i="9"/>
  <c r="K394" i="9"/>
  <c r="F394" i="9"/>
  <c r="K393" i="9"/>
  <c r="F393" i="9"/>
  <c r="K392" i="9"/>
  <c r="F392" i="9"/>
  <c r="K391" i="9"/>
  <c r="F391" i="9"/>
  <c r="E391" i="9"/>
  <c r="K386" i="9"/>
  <c r="F386" i="9"/>
  <c r="K385" i="9"/>
  <c r="F385" i="9"/>
  <c r="K384" i="9"/>
  <c r="F384" i="9"/>
  <c r="K383" i="9"/>
  <c r="F383" i="9"/>
  <c r="K382" i="9"/>
  <c r="F382" i="9"/>
  <c r="K377" i="9"/>
  <c r="F377" i="9"/>
  <c r="K376" i="9"/>
  <c r="F376" i="9"/>
  <c r="K375" i="9"/>
  <c r="F375" i="9"/>
  <c r="K374" i="9"/>
  <c r="F374" i="9"/>
  <c r="K373" i="9"/>
  <c r="F373" i="9"/>
  <c r="M367" i="9"/>
  <c r="F367" i="9"/>
  <c r="M366" i="9"/>
  <c r="F366" i="9"/>
  <c r="M365" i="9"/>
  <c r="F365" i="9"/>
  <c r="M364" i="9"/>
  <c r="F364" i="9"/>
  <c r="M363" i="9"/>
  <c r="F363" i="9"/>
  <c r="K356" i="9"/>
  <c r="F356" i="9"/>
  <c r="K355" i="9"/>
  <c r="F355" i="9"/>
  <c r="K354" i="9"/>
  <c r="F354" i="9"/>
  <c r="K353" i="9"/>
  <c r="F353" i="9"/>
  <c r="K352" i="9"/>
  <c r="F352" i="9"/>
  <c r="K347" i="9"/>
  <c r="F347" i="9"/>
  <c r="K346" i="9"/>
  <c r="F346" i="9"/>
  <c r="K345" i="9"/>
  <c r="F345" i="9"/>
  <c r="K344" i="9"/>
  <c r="F344" i="9"/>
  <c r="K343" i="9"/>
  <c r="F343" i="9"/>
  <c r="F326" i="9"/>
  <c r="F325" i="9"/>
  <c r="F324" i="9"/>
  <c r="F323" i="9"/>
  <c r="F322" i="9"/>
  <c r="F317" i="9"/>
  <c r="F316" i="9"/>
  <c r="F315" i="9"/>
  <c r="F314" i="9"/>
  <c r="F313" i="9"/>
  <c r="G288" i="9"/>
  <c r="G280" i="9" s="1"/>
  <c r="F246" i="9"/>
  <c r="F245" i="9"/>
  <c r="F244" i="9"/>
  <c r="F243" i="9"/>
  <c r="F242" i="9"/>
  <c r="K237" i="9"/>
  <c r="F237" i="9"/>
  <c r="K236" i="9"/>
  <c r="F236" i="9"/>
  <c r="K235" i="9"/>
  <c r="F235" i="9"/>
  <c r="K234" i="9"/>
  <c r="F234" i="9"/>
  <c r="K233" i="9"/>
  <c r="F233" i="9"/>
  <c r="K227" i="9"/>
  <c r="F227" i="9"/>
  <c r="K226" i="9"/>
  <c r="F226" i="9"/>
  <c r="K225" i="9"/>
  <c r="F225" i="9"/>
  <c r="K224" i="9"/>
  <c r="F224" i="9"/>
  <c r="K223" i="9"/>
  <c r="F223" i="9"/>
  <c r="K218" i="9"/>
  <c r="F218" i="9"/>
  <c r="K217" i="9"/>
  <c r="F217" i="9"/>
  <c r="K216" i="9"/>
  <c r="F216" i="9"/>
  <c r="K215" i="9"/>
  <c r="F215" i="9"/>
  <c r="K214" i="9"/>
  <c r="F214" i="9"/>
  <c r="K209" i="9"/>
  <c r="F209" i="9"/>
  <c r="K208" i="9"/>
  <c r="F208" i="9"/>
  <c r="K207" i="9"/>
  <c r="F207" i="9"/>
  <c r="K206" i="9"/>
  <c r="F206" i="9"/>
  <c r="K205" i="9"/>
  <c r="F205" i="9"/>
  <c r="K199" i="9"/>
  <c r="F199" i="9"/>
  <c r="K198" i="9"/>
  <c r="F198" i="9"/>
  <c r="K197" i="9"/>
  <c r="F197" i="9"/>
  <c r="K196" i="9"/>
  <c r="F196" i="9"/>
  <c r="K195" i="9"/>
  <c r="F195" i="9"/>
  <c r="G188" i="9"/>
  <c r="F178" i="9" s="1"/>
  <c r="F146" i="9"/>
  <c r="G113" i="9"/>
  <c r="F106" i="9"/>
  <c r="G104" i="9"/>
  <c r="F96" i="9"/>
  <c r="F51" i="9"/>
  <c r="F50" i="9"/>
  <c r="F49" i="9"/>
  <c r="F48" i="9"/>
  <c r="F47" i="9"/>
  <c r="M42" i="9"/>
  <c r="F42" i="9"/>
  <c r="M41" i="9"/>
  <c r="F41" i="9"/>
  <c r="M40" i="9"/>
  <c r="F40" i="9"/>
  <c r="M39" i="9"/>
  <c r="F39" i="9"/>
  <c r="M38" i="9"/>
  <c r="F38" i="9"/>
  <c r="F32" i="9"/>
  <c r="F31" i="9"/>
  <c r="F30" i="9"/>
  <c r="F29" i="9"/>
  <c r="F28" i="9"/>
  <c r="K23" i="9"/>
  <c r="F23" i="9"/>
  <c r="K22" i="9"/>
  <c r="F22" i="9"/>
  <c r="K21" i="9"/>
  <c r="F21" i="9"/>
  <c r="K20" i="9"/>
  <c r="F20" i="9"/>
  <c r="K19" i="9"/>
  <c r="F19" i="9"/>
  <c r="K14" i="9"/>
  <c r="F14" i="9"/>
  <c r="K13" i="9"/>
  <c r="F13" i="9"/>
  <c r="K12" i="9"/>
  <c r="F12" i="9"/>
  <c r="K11" i="9"/>
  <c r="F11" i="9"/>
  <c r="K10" i="9"/>
  <c r="F10" i="9"/>
  <c r="U6" i="9"/>
  <c r="U5" i="9"/>
  <c r="U4" i="9"/>
  <c r="U3" i="9"/>
  <c r="O3" i="9"/>
  <c r="N1" i="9"/>
  <c r="K442" i="8"/>
  <c r="F442" i="8"/>
  <c r="K441" i="8"/>
  <c r="F441" i="8"/>
  <c r="K440" i="8"/>
  <c r="F440" i="8"/>
  <c r="K439" i="8"/>
  <c r="F439" i="8"/>
  <c r="K438" i="8"/>
  <c r="F438" i="8"/>
  <c r="K432" i="8"/>
  <c r="F432" i="8"/>
  <c r="K431" i="8"/>
  <c r="F431" i="8"/>
  <c r="K430" i="8"/>
  <c r="F430" i="8"/>
  <c r="K429" i="8"/>
  <c r="F429" i="8"/>
  <c r="K428" i="8"/>
  <c r="F428" i="8"/>
  <c r="K423" i="8"/>
  <c r="F423" i="8"/>
  <c r="K422" i="8"/>
  <c r="F422" i="8"/>
  <c r="K421" i="8"/>
  <c r="F421" i="8"/>
  <c r="K420" i="8"/>
  <c r="F420" i="8"/>
  <c r="K419" i="8"/>
  <c r="F419" i="8"/>
  <c r="K414" i="8"/>
  <c r="F414" i="8"/>
  <c r="K413" i="8"/>
  <c r="F413" i="8"/>
  <c r="K412" i="8"/>
  <c r="F412" i="8"/>
  <c r="K411" i="8"/>
  <c r="F411" i="8"/>
  <c r="K410" i="8"/>
  <c r="F410" i="8"/>
  <c r="K405" i="8"/>
  <c r="F405" i="8"/>
  <c r="K404" i="8"/>
  <c r="F404" i="8"/>
  <c r="K403" i="8"/>
  <c r="F403" i="8"/>
  <c r="K402" i="8"/>
  <c r="F402" i="8"/>
  <c r="K401" i="8"/>
  <c r="F401" i="8"/>
  <c r="K395" i="8"/>
  <c r="F395" i="8"/>
  <c r="K394" i="8"/>
  <c r="F394" i="8"/>
  <c r="K393" i="8"/>
  <c r="F393" i="8"/>
  <c r="K392" i="8"/>
  <c r="F392" i="8"/>
  <c r="K391" i="8"/>
  <c r="F391" i="8"/>
  <c r="K386" i="8"/>
  <c r="F386" i="8"/>
  <c r="K385" i="8"/>
  <c r="F385" i="8"/>
  <c r="K384" i="8"/>
  <c r="F384" i="8"/>
  <c r="K383" i="8"/>
  <c r="F383" i="8"/>
  <c r="K382" i="8"/>
  <c r="F382" i="8"/>
  <c r="K377" i="8"/>
  <c r="F377" i="8"/>
  <c r="K376" i="8"/>
  <c r="F376" i="8"/>
  <c r="K375" i="8"/>
  <c r="F375" i="8"/>
  <c r="K374" i="8"/>
  <c r="F374" i="8"/>
  <c r="K373" i="8"/>
  <c r="F373" i="8"/>
  <c r="K368" i="8"/>
  <c r="F368" i="8"/>
  <c r="K367" i="8"/>
  <c r="F367" i="8"/>
  <c r="K366" i="8"/>
  <c r="F366" i="8"/>
  <c r="K365" i="8"/>
  <c r="F365" i="8"/>
  <c r="K364" i="8"/>
  <c r="F364" i="8"/>
  <c r="K341" i="8"/>
  <c r="F341" i="8"/>
  <c r="K340" i="8"/>
  <c r="F340" i="8"/>
  <c r="K339" i="8"/>
  <c r="F339" i="8"/>
  <c r="K338" i="8"/>
  <c r="F338" i="8"/>
  <c r="K337" i="8"/>
  <c r="F337" i="8"/>
  <c r="M332" i="8"/>
  <c r="F332" i="8"/>
  <c r="M331" i="8"/>
  <c r="F331" i="8"/>
  <c r="M330" i="8"/>
  <c r="F330" i="8"/>
  <c r="M329" i="8"/>
  <c r="F329" i="8"/>
  <c r="M328" i="8"/>
  <c r="F328" i="8"/>
  <c r="F318" i="8"/>
  <c r="F317" i="8"/>
  <c r="F316" i="8"/>
  <c r="F315" i="8"/>
  <c r="F314" i="8"/>
  <c r="K309" i="8"/>
  <c r="F309" i="8"/>
  <c r="K308" i="8"/>
  <c r="F308" i="8"/>
  <c r="K307" i="8"/>
  <c r="F307" i="8"/>
  <c r="K306" i="8"/>
  <c r="F306" i="8"/>
  <c r="K305" i="8"/>
  <c r="F305" i="8"/>
  <c r="K300" i="8"/>
  <c r="F300" i="8"/>
  <c r="K299" i="8"/>
  <c r="F299" i="8"/>
  <c r="K298" i="8"/>
  <c r="F298" i="8"/>
  <c r="K297" i="8"/>
  <c r="F297" i="8"/>
  <c r="K296" i="8"/>
  <c r="F296" i="8"/>
  <c r="K290" i="8"/>
  <c r="F290" i="8"/>
  <c r="K289" i="8"/>
  <c r="F289" i="8"/>
  <c r="K288" i="8"/>
  <c r="F288" i="8"/>
  <c r="K287" i="8"/>
  <c r="F287" i="8"/>
  <c r="K286" i="8"/>
  <c r="F286" i="8"/>
  <c r="F281" i="8"/>
  <c r="F280" i="8"/>
  <c r="F279" i="8"/>
  <c r="F278" i="8"/>
  <c r="F277" i="8"/>
  <c r="K272" i="8"/>
  <c r="F272" i="8"/>
  <c r="K271" i="8"/>
  <c r="F271" i="8"/>
  <c r="K270" i="8"/>
  <c r="F270" i="8"/>
  <c r="K269" i="8"/>
  <c r="F269" i="8"/>
  <c r="K268" i="8"/>
  <c r="F268" i="8"/>
  <c r="K261" i="8"/>
  <c r="F261" i="8"/>
  <c r="K260" i="8"/>
  <c r="F260" i="8"/>
  <c r="K259" i="8"/>
  <c r="F259" i="8"/>
  <c r="K258" i="8"/>
  <c r="F258" i="8"/>
  <c r="K257" i="8"/>
  <c r="F257" i="8"/>
  <c r="K218" i="8"/>
  <c r="F218" i="8"/>
  <c r="K217" i="8"/>
  <c r="F217" i="8"/>
  <c r="K216" i="8"/>
  <c r="F216" i="8"/>
  <c r="K215" i="8"/>
  <c r="F215" i="8"/>
  <c r="K214" i="8"/>
  <c r="F214" i="8"/>
  <c r="F209" i="8"/>
  <c r="F208" i="8"/>
  <c r="F207" i="8"/>
  <c r="F206" i="8"/>
  <c r="F205" i="8"/>
  <c r="K200" i="8"/>
  <c r="F200" i="8"/>
  <c r="K199" i="8"/>
  <c r="F199" i="8"/>
  <c r="K198" i="8"/>
  <c r="F198" i="8"/>
  <c r="K197" i="8"/>
  <c r="F197" i="8"/>
  <c r="K196" i="8"/>
  <c r="F196" i="8"/>
  <c r="F191" i="8"/>
  <c r="F190" i="8"/>
  <c r="F189" i="8"/>
  <c r="F188" i="8"/>
  <c r="F187" i="8"/>
  <c r="F164" i="8"/>
  <c r="F163" i="8"/>
  <c r="F162" i="8"/>
  <c r="F161" i="8"/>
  <c r="F160" i="8"/>
  <c r="K137" i="8"/>
  <c r="F137" i="8"/>
  <c r="K136" i="8"/>
  <c r="F136" i="8"/>
  <c r="K135" i="8"/>
  <c r="F135" i="8"/>
  <c r="K134" i="8"/>
  <c r="F134" i="8"/>
  <c r="K133" i="8"/>
  <c r="F133" i="8"/>
  <c r="G63" i="8"/>
  <c r="G56" i="8"/>
  <c r="G53" i="8"/>
  <c r="F53" i="8"/>
  <c r="G44" i="8"/>
  <c r="F44" i="8"/>
  <c r="L13" i="8"/>
  <c r="F13" i="8"/>
  <c r="L12" i="8"/>
  <c r="F12" i="8"/>
  <c r="L11" i="8"/>
  <c r="F11" i="8"/>
  <c r="L10" i="8"/>
  <c r="F10" i="8"/>
  <c r="L9" i="8"/>
  <c r="F9" i="8"/>
  <c r="U6" i="8"/>
  <c r="U5" i="8"/>
  <c r="U4" i="8"/>
  <c r="U3" i="8"/>
  <c r="O3" i="8"/>
  <c r="N1" i="8"/>
  <c r="F166" i="3"/>
  <c r="D166" i="3"/>
  <c r="F165" i="3"/>
  <c r="D165" i="3"/>
  <c r="F164" i="3"/>
  <c r="D164" i="3"/>
  <c r="F163" i="3"/>
  <c r="D163" i="3"/>
  <c r="F162" i="3"/>
  <c r="D162" i="3"/>
  <c r="F161" i="3"/>
  <c r="D161" i="3"/>
  <c r="F160" i="3"/>
  <c r="D160" i="3"/>
  <c r="F159" i="3"/>
  <c r="D159" i="3"/>
  <c r="F158" i="3"/>
  <c r="D158" i="3"/>
  <c r="F157" i="3"/>
  <c r="D157" i="3"/>
  <c r="F156" i="3"/>
  <c r="D156" i="3"/>
  <c r="F155" i="3"/>
  <c r="D155" i="3"/>
  <c r="F154" i="3"/>
  <c r="D154" i="3"/>
  <c r="F153" i="3"/>
  <c r="D153" i="3"/>
  <c r="F152" i="3"/>
  <c r="D152" i="3"/>
  <c r="F151" i="3"/>
  <c r="D151" i="3"/>
  <c r="F150" i="3"/>
  <c r="D150" i="3"/>
  <c r="F149" i="3"/>
  <c r="D149" i="3"/>
  <c r="F148" i="3"/>
  <c r="D148" i="3"/>
  <c r="F147" i="3"/>
  <c r="D147" i="3"/>
  <c r="F146" i="3"/>
  <c r="D146" i="3"/>
  <c r="F145" i="3"/>
  <c r="D145" i="3"/>
  <c r="F144" i="3"/>
  <c r="D144" i="3"/>
  <c r="F143" i="3"/>
  <c r="D143" i="3"/>
  <c r="F142" i="3"/>
  <c r="D142" i="3"/>
  <c r="F141" i="3"/>
  <c r="D141" i="3"/>
  <c r="F140" i="3"/>
  <c r="D140" i="3"/>
  <c r="F139" i="3"/>
  <c r="D139" i="3"/>
  <c r="F138" i="3"/>
  <c r="D138" i="3"/>
  <c r="F137" i="3"/>
  <c r="D137" i="3"/>
  <c r="F136" i="3"/>
  <c r="D136" i="3"/>
  <c r="F135" i="3"/>
  <c r="D135" i="3"/>
  <c r="F134" i="3"/>
  <c r="D134" i="3"/>
  <c r="F133" i="3"/>
  <c r="D133" i="3"/>
  <c r="F132" i="3"/>
  <c r="D132" i="3"/>
  <c r="F131" i="3"/>
  <c r="D131" i="3"/>
  <c r="F130" i="3"/>
  <c r="D130" i="3"/>
  <c r="F129" i="3"/>
  <c r="D129" i="3"/>
  <c r="F128" i="3"/>
  <c r="D128" i="3"/>
  <c r="F127" i="3"/>
  <c r="D127" i="3"/>
  <c r="F126" i="3"/>
  <c r="D126" i="3"/>
  <c r="F125" i="3"/>
  <c r="D125" i="3"/>
  <c r="F124" i="3"/>
  <c r="D124" i="3"/>
  <c r="F123" i="3"/>
  <c r="D123" i="3"/>
  <c r="F122" i="3"/>
  <c r="D122" i="3"/>
  <c r="F121" i="3"/>
  <c r="D121" i="3"/>
  <c r="F120" i="3"/>
  <c r="D120" i="3"/>
  <c r="F119" i="3"/>
  <c r="D119" i="3"/>
  <c r="F118" i="3"/>
  <c r="D118" i="3"/>
  <c r="F117" i="3"/>
  <c r="D117" i="3"/>
  <c r="F116" i="3"/>
  <c r="D116" i="3"/>
  <c r="F115" i="3"/>
  <c r="D115" i="3"/>
  <c r="F114" i="3"/>
  <c r="D114" i="3"/>
  <c r="F113" i="3"/>
  <c r="D113" i="3"/>
  <c r="F112" i="3"/>
  <c r="D112" i="3"/>
  <c r="F111" i="3"/>
  <c r="D111" i="3"/>
  <c r="F110" i="3"/>
  <c r="D110" i="3"/>
  <c r="F109" i="3"/>
  <c r="D109" i="3"/>
  <c r="F108" i="3"/>
  <c r="D108" i="3"/>
  <c r="F107" i="3"/>
  <c r="D107" i="3"/>
  <c r="F106" i="3"/>
  <c r="D106" i="3"/>
  <c r="F105" i="3"/>
  <c r="D105" i="3"/>
  <c r="F104" i="3"/>
  <c r="D104" i="3"/>
  <c r="F103" i="3"/>
  <c r="D103" i="3"/>
  <c r="F102" i="3"/>
  <c r="D102" i="3"/>
  <c r="F101" i="3"/>
  <c r="D101" i="3"/>
  <c r="F100" i="3"/>
  <c r="D100" i="3"/>
  <c r="F99" i="3"/>
  <c r="D99" i="3"/>
  <c r="F98" i="3"/>
  <c r="D98" i="3"/>
  <c r="F97" i="3"/>
  <c r="D97" i="3"/>
  <c r="F96" i="3"/>
  <c r="D96" i="3"/>
  <c r="F95" i="3"/>
  <c r="D95" i="3"/>
  <c r="F94" i="3"/>
  <c r="D94" i="3"/>
  <c r="F93" i="3"/>
  <c r="D93" i="3"/>
  <c r="F92" i="3"/>
  <c r="D92" i="3"/>
  <c r="F91" i="3"/>
  <c r="D91" i="3"/>
  <c r="F90" i="3"/>
  <c r="D90" i="3"/>
  <c r="F89" i="3"/>
  <c r="D89" i="3"/>
  <c r="F88" i="3"/>
  <c r="D88" i="3"/>
  <c r="J85" i="3"/>
  <c r="I85" i="3"/>
  <c r="J82" i="3"/>
  <c r="I82" i="3"/>
  <c r="J81" i="3"/>
  <c r="I81" i="3"/>
  <c r="J80" i="3"/>
  <c r="I80" i="3"/>
  <c r="J79" i="3"/>
  <c r="I79" i="3"/>
  <c r="J78" i="3"/>
  <c r="I78" i="3"/>
  <c r="J77" i="3"/>
  <c r="I77" i="3"/>
  <c r="J76" i="3"/>
  <c r="I76" i="3"/>
  <c r="J75" i="3"/>
  <c r="I75" i="3"/>
  <c r="J74" i="3"/>
  <c r="I74" i="3"/>
  <c r="J73" i="3"/>
  <c r="I73" i="3"/>
  <c r="J72" i="3"/>
  <c r="I72" i="3"/>
  <c r="J71" i="3"/>
  <c r="I71" i="3"/>
  <c r="J70" i="3"/>
  <c r="I70" i="3"/>
  <c r="J69" i="3"/>
  <c r="I69" i="3"/>
  <c r="J68" i="3"/>
  <c r="I68" i="3"/>
  <c r="J67" i="3"/>
  <c r="I67" i="3"/>
  <c r="J66" i="3"/>
  <c r="I66" i="3"/>
  <c r="J65" i="3"/>
  <c r="I65" i="3"/>
  <c r="J64" i="3"/>
  <c r="I64" i="3"/>
  <c r="J63" i="3"/>
  <c r="I63" i="3"/>
  <c r="J62" i="3"/>
  <c r="I62" i="3"/>
  <c r="J61" i="3"/>
  <c r="I61" i="3"/>
  <c r="J60" i="3"/>
  <c r="I60" i="3"/>
  <c r="J59" i="3"/>
  <c r="I59" i="3"/>
  <c r="J58" i="3"/>
  <c r="I58" i="3"/>
  <c r="J57" i="3"/>
  <c r="I57" i="3"/>
  <c r="J56" i="3"/>
  <c r="I56" i="3"/>
  <c r="J55" i="3"/>
  <c r="I55" i="3"/>
  <c r="J54" i="3"/>
  <c r="I54" i="3"/>
  <c r="J53" i="3"/>
  <c r="I53" i="3"/>
  <c r="J52" i="3"/>
  <c r="I52" i="3"/>
  <c r="J51" i="3"/>
  <c r="I51" i="3"/>
  <c r="J50" i="3"/>
  <c r="I50" i="3"/>
  <c r="J49" i="3"/>
  <c r="I49" i="3"/>
  <c r="J48" i="3"/>
  <c r="I48" i="3"/>
  <c r="J47" i="3"/>
  <c r="I47" i="3"/>
  <c r="J46" i="3"/>
  <c r="I46" i="3"/>
  <c r="J45" i="3"/>
  <c r="I45" i="3"/>
  <c r="J44" i="3"/>
  <c r="I44" i="3"/>
  <c r="M43" i="3"/>
  <c r="L43" i="3"/>
  <c r="J43" i="3"/>
  <c r="I43" i="3"/>
  <c r="M42" i="3"/>
  <c r="L42" i="3"/>
  <c r="J42" i="3"/>
  <c r="I42" i="3"/>
  <c r="M41" i="3"/>
  <c r="L41" i="3"/>
  <c r="J41" i="3"/>
  <c r="I41" i="3"/>
  <c r="M40" i="3"/>
  <c r="L40" i="3"/>
  <c r="J40" i="3"/>
  <c r="I40" i="3"/>
  <c r="M39" i="3"/>
  <c r="L39" i="3"/>
  <c r="J39" i="3"/>
  <c r="I39" i="3"/>
  <c r="M38" i="3"/>
  <c r="L38" i="3"/>
  <c r="J38" i="3"/>
  <c r="I38" i="3"/>
  <c r="M37" i="3"/>
  <c r="L37" i="3"/>
  <c r="J37" i="3"/>
  <c r="I37" i="3"/>
  <c r="M36" i="3"/>
  <c r="L36" i="3"/>
  <c r="J36" i="3"/>
  <c r="I36" i="3"/>
  <c r="M35" i="3"/>
  <c r="L35" i="3"/>
  <c r="J35" i="3"/>
  <c r="I35" i="3"/>
  <c r="M34" i="3"/>
  <c r="L34" i="3"/>
  <c r="J34" i="3"/>
  <c r="I34" i="3"/>
  <c r="M33" i="3"/>
  <c r="L33" i="3"/>
  <c r="J33" i="3"/>
  <c r="I33" i="3"/>
  <c r="M32" i="3"/>
  <c r="L32" i="3"/>
  <c r="J32" i="3"/>
  <c r="I32" i="3"/>
  <c r="M31" i="3"/>
  <c r="L31" i="3"/>
  <c r="J31" i="3"/>
  <c r="I31" i="3"/>
  <c r="M30" i="3"/>
  <c r="L30" i="3"/>
  <c r="J30" i="3"/>
  <c r="I30" i="3"/>
  <c r="M29" i="3"/>
  <c r="L29" i="3"/>
  <c r="J29" i="3"/>
  <c r="I29" i="3"/>
  <c r="M28" i="3"/>
  <c r="L28" i="3"/>
  <c r="J28" i="3"/>
  <c r="I28" i="3"/>
  <c r="M27" i="3"/>
  <c r="L27" i="3"/>
  <c r="J27" i="3"/>
  <c r="I27" i="3"/>
  <c r="M26" i="3"/>
  <c r="L26" i="3"/>
  <c r="J26" i="3"/>
  <c r="I26" i="3"/>
  <c r="M25" i="3"/>
  <c r="L25" i="3"/>
  <c r="J25" i="3"/>
  <c r="I25" i="3"/>
  <c r="M24" i="3"/>
  <c r="L24" i="3"/>
  <c r="J24" i="3"/>
  <c r="I24" i="3"/>
  <c r="D24" i="3"/>
  <c r="M23" i="3"/>
  <c r="L23" i="3"/>
  <c r="J23" i="3"/>
  <c r="I23" i="3"/>
  <c r="M22" i="3"/>
  <c r="L22" i="3"/>
  <c r="J22" i="3"/>
  <c r="I22" i="3"/>
  <c r="M21" i="3"/>
  <c r="L21" i="3"/>
  <c r="J21" i="3"/>
  <c r="I21" i="3"/>
  <c r="M20" i="3"/>
  <c r="L20" i="3"/>
  <c r="J20" i="3"/>
  <c r="I20" i="3"/>
  <c r="M19" i="3"/>
  <c r="L19" i="3"/>
  <c r="J19" i="3"/>
  <c r="I19" i="3"/>
  <c r="M18" i="3"/>
  <c r="L18" i="3"/>
  <c r="J18" i="3"/>
  <c r="I18" i="3"/>
  <c r="M17" i="3"/>
  <c r="L17" i="3"/>
  <c r="J17" i="3"/>
  <c r="I17" i="3"/>
  <c r="M16" i="3"/>
  <c r="L16" i="3"/>
  <c r="J16" i="3"/>
  <c r="I16" i="3"/>
  <c r="D16" i="3"/>
  <c r="R7" i="3" s="1"/>
  <c r="D5" i="3" s="1"/>
  <c r="I95" i="15" s="1"/>
  <c r="M15" i="3"/>
  <c r="L15" i="3"/>
  <c r="J15" i="3"/>
  <c r="I15" i="3"/>
  <c r="M14" i="3"/>
  <c r="L14" i="3"/>
  <c r="J14" i="3"/>
  <c r="I14" i="3"/>
  <c r="M13" i="3"/>
  <c r="L13" i="3"/>
  <c r="J13" i="3"/>
  <c r="I13" i="3"/>
  <c r="M12" i="3"/>
  <c r="L12" i="3"/>
  <c r="J12" i="3"/>
  <c r="I12" i="3"/>
  <c r="M11" i="3"/>
  <c r="L11" i="3"/>
  <c r="J11" i="3"/>
  <c r="I11" i="3"/>
  <c r="M10" i="3"/>
  <c r="L10" i="3"/>
  <c r="J10" i="3"/>
  <c r="I10" i="3"/>
  <c r="M9" i="3"/>
  <c r="L9" i="3"/>
  <c r="J9" i="3"/>
  <c r="I9" i="3"/>
  <c r="M8" i="3"/>
  <c r="L8" i="3"/>
  <c r="J8" i="3"/>
  <c r="I8" i="3"/>
  <c r="Q7" i="3"/>
  <c r="C5" i="3" s="1"/>
  <c r="M7" i="3"/>
  <c r="L7" i="3"/>
  <c r="J7" i="3"/>
  <c r="I7" i="3"/>
  <c r="M6" i="3"/>
  <c r="L6" i="3"/>
  <c r="J6" i="3"/>
  <c r="I6" i="3"/>
  <c r="M5" i="3"/>
  <c r="L5" i="3"/>
  <c r="J5" i="3"/>
  <c r="I5" i="3"/>
  <c r="F1" i="7"/>
  <c r="V194" i="5"/>
  <c r="Y194" i="5" s="1"/>
  <c r="O194" i="5" s="1"/>
  <c r="V191" i="5"/>
  <c r="V190" i="5"/>
  <c r="V189" i="5"/>
  <c r="V187" i="5"/>
  <c r="L187" i="18"/>
  <c r="V186" i="5"/>
  <c r="L186" i="18"/>
  <c r="V185" i="5"/>
  <c r="L185" i="18"/>
  <c r="BI183" i="5"/>
  <c r="BH183" i="5"/>
  <c r="BG183" i="5"/>
  <c r="BF183" i="5"/>
  <c r="BE183" i="5"/>
  <c r="BD183" i="5"/>
  <c r="BC183" i="5"/>
  <c r="BB183" i="5"/>
  <c r="BA183" i="5"/>
  <c r="AZ183" i="5"/>
  <c r="AS181" i="5"/>
  <c r="AG181" i="5"/>
  <c r="L181" i="18"/>
  <c r="AS180" i="5"/>
  <c r="L180" i="18"/>
  <c r="AS179" i="5"/>
  <c r="V179" i="5"/>
  <c r="L179" i="18"/>
  <c r="AS178" i="5"/>
  <c r="V178" i="5"/>
  <c r="L178" i="18"/>
  <c r="AS177" i="5"/>
  <c r="AS176" i="5"/>
  <c r="L176" i="18"/>
  <c r="AS175" i="5"/>
  <c r="V175" i="5"/>
  <c r="L175" i="18"/>
  <c r="BI174" i="5"/>
  <c r="BH174" i="5"/>
  <c r="BG174" i="5"/>
  <c r="BF174" i="5"/>
  <c r="BE174" i="5"/>
  <c r="BD174" i="5"/>
  <c r="BC174" i="5"/>
  <c r="BB174" i="5"/>
  <c r="BA174" i="5"/>
  <c r="AZ174" i="5"/>
  <c r="BI173" i="5"/>
  <c r="BH173" i="5"/>
  <c r="BG173" i="5"/>
  <c r="BF173" i="5"/>
  <c r="BE173" i="5"/>
  <c r="BD173" i="5"/>
  <c r="BC173" i="5"/>
  <c r="BB173" i="5"/>
  <c r="BA173" i="5"/>
  <c r="AZ173" i="5"/>
  <c r="L173" i="18"/>
  <c r="S172" i="5"/>
  <c r="L172" i="18"/>
  <c r="V171" i="5"/>
  <c r="L171" i="18"/>
  <c r="V170" i="5"/>
  <c r="L170" i="18"/>
  <c r="V169" i="5"/>
  <c r="L169" i="18"/>
  <c r="L167" i="18"/>
  <c r="BI166" i="5"/>
  <c r="BH166" i="5"/>
  <c r="BG166" i="5"/>
  <c r="BF166" i="5"/>
  <c r="BE166" i="5"/>
  <c r="BD166" i="5"/>
  <c r="BC166" i="5"/>
  <c r="BB166" i="5"/>
  <c r="BA166" i="5"/>
  <c r="AZ166" i="5"/>
  <c r="AS157" i="5"/>
  <c r="AS156" i="5"/>
  <c r="L156" i="18"/>
  <c r="AS155" i="5"/>
  <c r="V155" i="5"/>
  <c r="L155" i="18"/>
  <c r="I155" i="5"/>
  <c r="AS154" i="5"/>
  <c r="V154" i="5"/>
  <c r="L154" i="18"/>
  <c r="I154" i="5"/>
  <c r="AS153" i="5"/>
  <c r="V153" i="5"/>
  <c r="L153" i="18"/>
  <c r="AS152" i="5"/>
  <c r="L152" i="18"/>
  <c r="BI151" i="5"/>
  <c r="BH151" i="5"/>
  <c r="BG151" i="5"/>
  <c r="BF151" i="5"/>
  <c r="BE151" i="5"/>
  <c r="BD151" i="5"/>
  <c r="BC151" i="5"/>
  <c r="BB151" i="5"/>
  <c r="BA151" i="5"/>
  <c r="AZ151" i="5"/>
  <c r="AS150" i="5"/>
  <c r="V150" i="5"/>
  <c r="L150" i="18"/>
  <c r="AS149" i="5"/>
  <c r="V149" i="5"/>
  <c r="L149" i="18"/>
  <c r="AS148" i="5"/>
  <c r="AS147" i="5"/>
  <c r="V147" i="5"/>
  <c r="L147" i="18"/>
  <c r="BI146" i="5"/>
  <c r="BH146" i="5"/>
  <c r="BG146" i="5"/>
  <c r="BF146" i="5"/>
  <c r="BE146" i="5"/>
  <c r="BD146" i="5"/>
  <c r="BC146" i="5"/>
  <c r="BB146" i="5"/>
  <c r="BA146" i="5"/>
  <c r="AZ146" i="5"/>
  <c r="S145" i="5"/>
  <c r="L145" i="18"/>
  <c r="V144" i="5"/>
  <c r="L144" i="18"/>
  <c r="V143" i="5"/>
  <c r="L143" i="18"/>
  <c r="V141" i="5"/>
  <c r="L141" i="18"/>
  <c r="V140" i="5"/>
  <c r="L140" i="18"/>
  <c r="BI138" i="5"/>
  <c r="BH138" i="5"/>
  <c r="BG138" i="5"/>
  <c r="BF138" i="5"/>
  <c r="BE138" i="5"/>
  <c r="BD138" i="5"/>
  <c r="BC138" i="5"/>
  <c r="BB138" i="5"/>
  <c r="BA138" i="5"/>
  <c r="AZ138" i="5"/>
  <c r="AB137" i="5"/>
  <c r="S137" i="5" s="1"/>
  <c r="Z137" i="5"/>
  <c r="P137" i="5" s="1"/>
  <c r="L137" i="18"/>
  <c r="L136" i="18"/>
  <c r="L135" i="18"/>
  <c r="K135" i="18"/>
  <c r="V134" i="5"/>
  <c r="L134" i="18"/>
  <c r="L133" i="18"/>
  <c r="K133" i="18"/>
  <c r="V132" i="5"/>
  <c r="K132" i="18" s="1"/>
  <c r="L132" i="18"/>
  <c r="AB131" i="5"/>
  <c r="L131" i="18"/>
  <c r="K131" i="18"/>
  <c r="AB130" i="5"/>
  <c r="S130" i="5" s="1"/>
  <c r="L130" i="18"/>
  <c r="BI129" i="5"/>
  <c r="BH129" i="5"/>
  <c r="BG129" i="5"/>
  <c r="BF129" i="5"/>
  <c r="BE129" i="5"/>
  <c r="BD129" i="5"/>
  <c r="BC129" i="5"/>
  <c r="BB129" i="5"/>
  <c r="BA129" i="5"/>
  <c r="AZ129" i="5"/>
  <c r="AS128" i="5"/>
  <c r="L128" i="18"/>
  <c r="K128" i="18"/>
  <c r="AS127" i="5"/>
  <c r="L127" i="18"/>
  <c r="AS126" i="5"/>
  <c r="AS125" i="5"/>
  <c r="L125" i="18"/>
  <c r="BI124" i="5"/>
  <c r="BH124" i="5"/>
  <c r="BG124" i="5"/>
  <c r="BF124" i="5"/>
  <c r="BE124" i="5"/>
  <c r="BD124" i="5"/>
  <c r="BC124" i="5"/>
  <c r="BB124" i="5"/>
  <c r="BA124" i="5"/>
  <c r="AZ124" i="5"/>
  <c r="BI123" i="5"/>
  <c r="BH123" i="5"/>
  <c r="BG123" i="5"/>
  <c r="BF123" i="5"/>
  <c r="BE123" i="5"/>
  <c r="BD123" i="5"/>
  <c r="BC123" i="5"/>
  <c r="BB123" i="5"/>
  <c r="BA123" i="5"/>
  <c r="AZ123" i="5"/>
  <c r="L123" i="18"/>
  <c r="S122" i="5"/>
  <c r="L122" i="18"/>
  <c r="Z121" i="5"/>
  <c r="P121" i="5" s="1"/>
  <c r="S121" i="5"/>
  <c r="L121" i="18"/>
  <c r="AG120" i="5"/>
  <c r="AB120" i="5"/>
  <c r="S120" i="5" s="1"/>
  <c r="Z120" i="5"/>
  <c r="P120" i="5" s="1"/>
  <c r="V119" i="5"/>
  <c r="L119" i="18"/>
  <c r="L118" i="18"/>
  <c r="BI117" i="5"/>
  <c r="BH117" i="5"/>
  <c r="BG117" i="5"/>
  <c r="BF117" i="5"/>
  <c r="BE117" i="5"/>
  <c r="BD117" i="5"/>
  <c r="BC117" i="5"/>
  <c r="BB117" i="5"/>
  <c r="BA117" i="5"/>
  <c r="AZ117" i="5"/>
  <c r="BI116" i="5"/>
  <c r="BH116" i="5"/>
  <c r="BG116" i="5"/>
  <c r="BF116" i="5"/>
  <c r="BE116" i="5"/>
  <c r="BD116" i="5"/>
  <c r="BC116" i="5"/>
  <c r="BB116" i="5"/>
  <c r="BA116" i="5"/>
  <c r="AZ116" i="5"/>
  <c r="L116" i="18"/>
  <c r="BI113" i="5"/>
  <c r="BH113" i="5"/>
  <c r="BG113" i="5"/>
  <c r="BF113" i="5"/>
  <c r="BE113" i="5"/>
  <c r="BD113" i="5"/>
  <c r="BC113" i="5"/>
  <c r="BB113" i="5"/>
  <c r="BA113" i="5"/>
  <c r="AZ113" i="5"/>
  <c r="L113" i="18"/>
  <c r="S112" i="5"/>
  <c r="L112" i="18"/>
  <c r="V111" i="5"/>
  <c r="L111" i="18"/>
  <c r="V110" i="5"/>
  <c r="L110" i="18"/>
  <c r="V109" i="5"/>
  <c r="L109" i="18"/>
  <c r="V108" i="5"/>
  <c r="L108" i="18"/>
  <c r="V107" i="5"/>
  <c r="L107" i="18"/>
  <c r="V106" i="5"/>
  <c r="L106" i="18"/>
  <c r="W104" i="5"/>
  <c r="V104" i="5"/>
  <c r="W103" i="5"/>
  <c r="V103" i="5"/>
  <c r="W102" i="5"/>
  <c r="V102" i="5"/>
  <c r="BI100" i="5"/>
  <c r="BH100" i="5"/>
  <c r="BG100" i="5"/>
  <c r="BF100" i="5"/>
  <c r="BE100" i="5"/>
  <c r="BD100" i="5"/>
  <c r="BC100" i="5"/>
  <c r="BB100" i="5"/>
  <c r="BA100" i="5"/>
  <c r="AZ100" i="5"/>
  <c r="AS99" i="5"/>
  <c r="AG99" i="5"/>
  <c r="AB99" i="5"/>
  <c r="S99" i="5" s="1"/>
  <c r="Z99" i="5"/>
  <c r="P99" i="5" s="1"/>
  <c r="V98" i="5"/>
  <c r="L98" i="18"/>
  <c r="V97" i="5"/>
  <c r="L97" i="18"/>
  <c r="L96" i="18"/>
  <c r="L91" i="18"/>
  <c r="L90" i="18"/>
  <c r="V92" i="5"/>
  <c r="Y92" i="5" s="1"/>
  <c r="O92" i="5" s="1"/>
  <c r="V91" i="5"/>
  <c r="V90" i="5"/>
  <c r="V88" i="5"/>
  <c r="L88" i="18"/>
  <c r="V87" i="5"/>
  <c r="V86" i="5"/>
  <c r="L86" i="18"/>
  <c r="V85" i="5"/>
  <c r="L85" i="18"/>
  <c r="V84" i="5"/>
  <c r="L84" i="18"/>
  <c r="V83" i="5"/>
  <c r="L83" i="18"/>
  <c r="V81" i="5"/>
  <c r="L81" i="18"/>
  <c r="V80" i="5"/>
  <c r="L80" i="18"/>
  <c r="BI78" i="5"/>
  <c r="BH78" i="5"/>
  <c r="BG78" i="5"/>
  <c r="BF78" i="5"/>
  <c r="BE78" i="5"/>
  <c r="BD78" i="5"/>
  <c r="BC78" i="5"/>
  <c r="BB78" i="5"/>
  <c r="BA78" i="5"/>
  <c r="AZ78" i="5"/>
  <c r="V71" i="5"/>
  <c r="W69" i="5"/>
  <c r="V69" i="5"/>
  <c r="V67" i="5"/>
  <c r="L67" i="18"/>
  <c r="W66" i="5"/>
  <c r="V66" i="5"/>
  <c r="W65" i="5"/>
  <c r="V65" i="5"/>
  <c r="BI63" i="5"/>
  <c r="BH63" i="5"/>
  <c r="BG63" i="5"/>
  <c r="BF63" i="5"/>
  <c r="BE63" i="5"/>
  <c r="BD63" i="5"/>
  <c r="BC63" i="5"/>
  <c r="BB63" i="5"/>
  <c r="BA63" i="5"/>
  <c r="AZ63" i="5"/>
  <c r="BI62" i="5"/>
  <c r="BH62" i="5"/>
  <c r="BG62" i="5"/>
  <c r="BF62" i="5"/>
  <c r="BE62" i="5"/>
  <c r="BD62" i="5"/>
  <c r="BC62" i="5"/>
  <c r="BB62" i="5"/>
  <c r="BA62" i="5"/>
  <c r="AZ62" i="5"/>
  <c r="S62" i="5"/>
  <c r="L62" i="18"/>
  <c r="V61" i="5"/>
  <c r="L61" i="18"/>
  <c r="V60" i="5"/>
  <c r="L60" i="18"/>
  <c r="W58" i="5"/>
  <c r="V58" i="5"/>
  <c r="K58" i="18" s="1"/>
  <c r="W57" i="5"/>
  <c r="V57" i="5"/>
  <c r="W56" i="5"/>
  <c r="V56" i="5"/>
  <c r="W55" i="5"/>
  <c r="V55" i="5"/>
  <c r="W53" i="5"/>
  <c r="V53" i="5"/>
  <c r="K53" i="18" s="1"/>
  <c r="W52" i="5"/>
  <c r="L52" i="18" s="1"/>
  <c r="V52" i="5"/>
  <c r="W51" i="5"/>
  <c r="AA51" i="5" s="1"/>
  <c r="R51" i="5" s="1"/>
  <c r="V51" i="5"/>
  <c r="W50" i="5"/>
  <c r="V50" i="5"/>
  <c r="BI48" i="5"/>
  <c r="BH48" i="5"/>
  <c r="BG48" i="5"/>
  <c r="BF48" i="5"/>
  <c r="BE48" i="5"/>
  <c r="BD48" i="5"/>
  <c r="BC48" i="5"/>
  <c r="BB48" i="5"/>
  <c r="BA48" i="5"/>
  <c r="AZ48" i="5"/>
  <c r="W47" i="5"/>
  <c r="V47" i="5"/>
  <c r="L46" i="18"/>
  <c r="K46" i="18"/>
  <c r="L45" i="18"/>
  <c r="K45" i="18"/>
  <c r="W44" i="5"/>
  <c r="V44" i="5"/>
  <c r="V43" i="5"/>
  <c r="W42" i="5"/>
  <c r="V42" i="5"/>
  <c r="W41" i="5"/>
  <c r="V41" i="5"/>
  <c r="W39" i="5"/>
  <c r="V39" i="5"/>
  <c r="W38" i="5"/>
  <c r="AA38" i="5" s="1"/>
  <c r="R38" i="5" s="1"/>
  <c r="W37" i="5"/>
  <c r="AA37" i="5" s="1"/>
  <c r="R37" i="5" s="1"/>
  <c r="V37" i="5"/>
  <c r="BI35" i="5"/>
  <c r="BH35" i="5"/>
  <c r="BG35" i="5"/>
  <c r="BF35" i="5"/>
  <c r="BE35" i="5"/>
  <c r="BD35" i="5"/>
  <c r="BC35" i="5"/>
  <c r="BB35" i="5"/>
  <c r="BA35" i="5"/>
  <c r="AZ35" i="5"/>
  <c r="AS34" i="5"/>
  <c r="L34" i="18"/>
  <c r="K34" i="18"/>
  <c r="AS33" i="5"/>
  <c r="L33" i="18"/>
  <c r="K33" i="18"/>
  <c r="W31" i="5"/>
  <c r="AA31" i="5" s="1"/>
  <c r="R31" i="5" s="1"/>
  <c r="V31" i="5"/>
  <c r="W30" i="5"/>
  <c r="V30" i="5"/>
  <c r="V29" i="5"/>
  <c r="L29" i="18"/>
  <c r="V28" i="5"/>
  <c r="K28" i="18" s="1"/>
  <c r="L28" i="18"/>
  <c r="W27" i="5"/>
  <c r="K27" i="18"/>
  <c r="W26" i="5"/>
  <c r="V26" i="5"/>
  <c r="K26" i="18" s="1"/>
  <c r="V25" i="5"/>
  <c r="L25" i="18"/>
  <c r="W24" i="5"/>
  <c r="V24" i="5"/>
  <c r="V23" i="5"/>
  <c r="L23" i="18"/>
  <c r="W22" i="5"/>
  <c r="V22" i="5"/>
  <c r="BI20" i="5"/>
  <c r="BH20" i="5"/>
  <c r="BG20" i="5"/>
  <c r="BF20" i="5"/>
  <c r="BE20" i="5"/>
  <c r="BD20" i="5"/>
  <c r="BC20" i="5"/>
  <c r="BB20" i="5"/>
  <c r="BA20" i="5"/>
  <c r="AZ20" i="5"/>
  <c r="W19" i="5"/>
  <c r="V19" i="5"/>
  <c r="W18" i="5"/>
  <c r="V18" i="5"/>
  <c r="W17" i="5"/>
  <c r="V17" i="5"/>
  <c r="W16" i="5"/>
  <c r="AA16" i="5" s="1"/>
  <c r="R16" i="5" s="1"/>
  <c r="V16" i="5"/>
  <c r="W15" i="5"/>
  <c r="V15" i="5"/>
  <c r="AA11" i="5"/>
  <c r="BI10" i="5"/>
  <c r="BH10" i="5"/>
  <c r="BG10" i="5"/>
  <c r="BF10" i="5"/>
  <c r="BE10" i="5"/>
  <c r="BD10" i="5"/>
  <c r="BC10" i="5"/>
  <c r="BB10" i="5"/>
  <c r="BA10" i="5"/>
  <c r="AZ10" i="5"/>
  <c r="S9" i="5"/>
  <c r="AG8" i="5"/>
  <c r="AE8" i="5"/>
  <c r="BI6" i="5"/>
  <c r="BH6" i="5"/>
  <c r="BG6" i="5"/>
  <c r="BF6" i="5"/>
  <c r="BE6" i="5"/>
  <c r="BD6" i="5"/>
  <c r="BC6" i="5"/>
  <c r="BB6" i="5"/>
  <c r="BA6" i="5"/>
  <c r="AZ6" i="5"/>
  <c r="E5" i="5"/>
  <c r="AS3" i="5"/>
  <c r="P3" i="5"/>
  <c r="B3" i="5"/>
  <c r="AS2" i="5"/>
  <c r="P2" i="5"/>
  <c r="B2" i="5"/>
  <c r="L69" i="4"/>
  <c r="H69" i="4"/>
  <c r="B69" i="4"/>
  <c r="L67" i="4"/>
  <c r="H67" i="4"/>
  <c r="B67" i="4"/>
  <c r="L53" i="4"/>
  <c r="H53" i="4"/>
  <c r="C53" i="4"/>
  <c r="Z43" i="4"/>
  <c r="Z42" i="4"/>
  <c r="L42" i="4"/>
  <c r="H42" i="4"/>
  <c r="C42" i="4"/>
  <c r="Z41" i="4"/>
  <c r="U36" i="4"/>
  <c r="V37" i="4" s="1"/>
  <c r="Z34" i="4"/>
  <c r="Z33" i="4"/>
  <c r="U29" i="4"/>
  <c r="Y29" i="4" s="1"/>
  <c r="J17" i="4"/>
  <c r="J16" i="4"/>
  <c r="E16" i="4"/>
  <c r="J15" i="4"/>
  <c r="E15" i="4"/>
  <c r="J13" i="4"/>
  <c r="D13" i="4"/>
  <c r="J12" i="4"/>
  <c r="D11" i="4"/>
  <c r="J10" i="4"/>
  <c r="D10" i="4"/>
  <c r="J9" i="4"/>
  <c r="D9" i="4"/>
  <c r="J8" i="4"/>
  <c r="D8" i="4"/>
  <c r="N5" i="4"/>
  <c r="K5" i="4"/>
  <c r="R65" i="2"/>
  <c r="R64" i="2"/>
  <c r="L64" i="2"/>
  <c r="K56" i="8" s="1"/>
  <c r="C64" i="2"/>
  <c r="N63" i="2"/>
  <c r="O63" i="2" s="1"/>
  <c r="R62" i="2"/>
  <c r="G205" i="15" s="1"/>
  <c r="H205" i="15" s="1"/>
  <c r="J112" i="20" s="1"/>
  <c r="N62" i="2"/>
  <c r="J62" i="2"/>
  <c r="L62" i="2" s="1"/>
  <c r="R61" i="2"/>
  <c r="N61" i="2"/>
  <c r="F32" i="6" s="1"/>
  <c r="L61" i="2"/>
  <c r="J61" i="2"/>
  <c r="R60" i="2"/>
  <c r="J60" i="2"/>
  <c r="N60" i="2" s="1"/>
  <c r="R59" i="2"/>
  <c r="N59" i="2"/>
  <c r="O59" i="2" s="1"/>
  <c r="R58" i="2"/>
  <c r="N58" i="2"/>
  <c r="O58" i="2" s="1"/>
  <c r="R57" i="2"/>
  <c r="C57" i="2"/>
  <c r="S18" i="6" s="1"/>
  <c r="R56" i="2"/>
  <c r="J56" i="2"/>
  <c r="N56" i="2" s="1"/>
  <c r="F29" i="6" s="1"/>
  <c r="R55" i="2"/>
  <c r="H105" i="20" s="1"/>
  <c r="N55" i="2"/>
  <c r="O55" i="2" s="1"/>
  <c r="R54" i="2"/>
  <c r="H104" i="20" s="1"/>
  <c r="C54" i="2"/>
  <c r="S15" i="6" s="1"/>
  <c r="R53" i="2"/>
  <c r="H103" i="20" s="1"/>
  <c r="N53" i="2"/>
  <c r="O53" i="2" s="1"/>
  <c r="R52" i="2"/>
  <c r="N52" i="2"/>
  <c r="O52" i="2" s="1"/>
  <c r="R51" i="2"/>
  <c r="G194" i="15" s="1"/>
  <c r="H194" i="15" s="1"/>
  <c r="J101" i="20" s="1"/>
  <c r="N51" i="2"/>
  <c r="O51" i="2" s="1"/>
  <c r="R50" i="2"/>
  <c r="N50" i="2"/>
  <c r="O50" i="2" s="1"/>
  <c r="R49" i="2"/>
  <c r="H99" i="20" s="1"/>
  <c r="C49" i="2"/>
  <c r="S10" i="6" s="1"/>
  <c r="R48" i="2"/>
  <c r="H98" i="20" s="1"/>
  <c r="N48" i="2"/>
  <c r="O48" i="2" s="1"/>
  <c r="R47" i="2"/>
  <c r="C47" i="2"/>
  <c r="G32" i="20" s="1"/>
  <c r="D43" i="2"/>
  <c r="I216" i="15"/>
  <c r="P46" i="15" l="1"/>
  <c r="L46" i="15"/>
  <c r="O46" i="15"/>
  <c r="K46" i="15"/>
  <c r="N46" i="15"/>
  <c r="J46" i="15"/>
  <c r="Q46" i="15"/>
  <c r="M46" i="15"/>
  <c r="I46" i="15"/>
  <c r="P41" i="15"/>
  <c r="L41" i="15"/>
  <c r="O41" i="15"/>
  <c r="K41" i="15"/>
  <c r="N41" i="15"/>
  <c r="J41" i="15"/>
  <c r="Q41" i="15"/>
  <c r="M41" i="15"/>
  <c r="I41" i="15"/>
  <c r="O42" i="15"/>
  <c r="L16" i="15"/>
  <c r="P16" i="15"/>
  <c r="L35" i="15"/>
  <c r="P35" i="15"/>
  <c r="L40" i="15"/>
  <c r="P40" i="15"/>
  <c r="P42" i="15" s="1"/>
  <c r="L59" i="15"/>
  <c r="P59" i="15"/>
  <c r="Y90" i="5"/>
  <c r="O90" i="5" s="1"/>
  <c r="K90" i="18" s="1"/>
  <c r="V29" i="4"/>
  <c r="V33" i="4" s="1"/>
  <c r="K91" i="18"/>
  <c r="Y91" i="5"/>
  <c r="O91" i="5" s="1"/>
  <c r="H11" i="15"/>
  <c r="I16" i="15"/>
  <c r="M16" i="15"/>
  <c r="Q16" i="15"/>
  <c r="H29" i="15"/>
  <c r="H34" i="15"/>
  <c r="I35" i="15"/>
  <c r="M35" i="15"/>
  <c r="Q35" i="15"/>
  <c r="I40" i="15"/>
  <c r="I42" i="15" s="1"/>
  <c r="M40" i="15"/>
  <c r="M42" i="15" s="1"/>
  <c r="Q40" i="15"/>
  <c r="H53" i="15"/>
  <c r="H58" i="15"/>
  <c r="I59" i="15"/>
  <c r="M59" i="15"/>
  <c r="Q59" i="15"/>
  <c r="U33" i="4"/>
  <c r="K51" i="18"/>
  <c r="Y51" i="5"/>
  <c r="O51" i="5" s="1"/>
  <c r="J16" i="15"/>
  <c r="N16" i="15"/>
  <c r="H23" i="15"/>
  <c r="H28" i="15"/>
  <c r="J35" i="15"/>
  <c r="N35" i="15"/>
  <c r="J40" i="15"/>
  <c r="J42" i="15" s="1"/>
  <c r="N40" i="15"/>
  <c r="N42" i="15" s="1"/>
  <c r="H47" i="15"/>
  <c r="H52" i="15"/>
  <c r="J59" i="15"/>
  <c r="N59" i="15"/>
  <c r="F189" i="14"/>
  <c r="I111" i="6"/>
  <c r="H10" i="15"/>
  <c r="K16" i="15"/>
  <c r="H17" i="15"/>
  <c r="H22" i="15"/>
  <c r="K35" i="15"/>
  <c r="K40" i="15"/>
  <c r="K42" i="15" s="1"/>
  <c r="K59" i="15"/>
  <c r="F70" i="2"/>
  <c r="G34" i="20"/>
  <c r="F46" i="20"/>
  <c r="F44" i="20"/>
  <c r="F53" i="20" s="1"/>
  <c r="H47" i="11"/>
  <c r="P182" i="18"/>
  <c r="B182" i="18" s="1"/>
  <c r="P158" i="18"/>
  <c r="B158" i="18" s="1"/>
  <c r="T158" i="18"/>
  <c r="X158" i="18"/>
  <c r="AB158" i="18"/>
  <c r="S159" i="18"/>
  <c r="W159" i="18"/>
  <c r="AA159" i="18"/>
  <c r="AE159" i="18"/>
  <c r="R160" i="18"/>
  <c r="C160" i="18" s="1"/>
  <c r="V160" i="18"/>
  <c r="Z160" i="18"/>
  <c r="AD160" i="18"/>
  <c r="Q161" i="18"/>
  <c r="U161" i="18"/>
  <c r="Y161" i="18"/>
  <c r="AC161" i="18"/>
  <c r="P162" i="18"/>
  <c r="T162" i="18"/>
  <c r="X162" i="18"/>
  <c r="AB162" i="18"/>
  <c r="S163" i="18"/>
  <c r="W163" i="18"/>
  <c r="AA163" i="18"/>
  <c r="AE163" i="18"/>
  <c r="R164" i="18"/>
  <c r="C164" i="18" s="1"/>
  <c r="V164" i="18"/>
  <c r="Z164" i="18"/>
  <c r="AD164" i="18"/>
  <c r="Q165" i="18"/>
  <c r="U165" i="18"/>
  <c r="Y165" i="18"/>
  <c r="AC165" i="18"/>
  <c r="AE162" i="18"/>
  <c r="X165" i="18"/>
  <c r="Q158" i="18"/>
  <c r="U158" i="18"/>
  <c r="Y158" i="18"/>
  <c r="AC158" i="18"/>
  <c r="P159" i="18"/>
  <c r="T159" i="18"/>
  <c r="X159" i="18"/>
  <c r="AB159" i="18"/>
  <c r="S160" i="18"/>
  <c r="W160" i="18"/>
  <c r="AA160" i="18"/>
  <c r="AE160" i="18"/>
  <c r="R161" i="18"/>
  <c r="C161" i="18" s="1"/>
  <c r="V161" i="18"/>
  <c r="Z161" i="18"/>
  <c r="AD161" i="18"/>
  <c r="Q162" i="18"/>
  <c r="U162" i="18"/>
  <c r="Y162" i="18"/>
  <c r="AC162" i="18"/>
  <c r="P163" i="18"/>
  <c r="T163" i="18"/>
  <c r="X163" i="18"/>
  <c r="AB163" i="18"/>
  <c r="S164" i="18"/>
  <c r="W164" i="18"/>
  <c r="AA164" i="18"/>
  <c r="AE164" i="18"/>
  <c r="R165" i="18"/>
  <c r="C165" i="18" s="1"/>
  <c r="V165" i="18"/>
  <c r="Z165" i="18"/>
  <c r="AD165" i="18"/>
  <c r="S158" i="18"/>
  <c r="AA158" i="18"/>
  <c r="Q160" i="18"/>
  <c r="U160" i="18"/>
  <c r="AC160" i="18"/>
  <c r="AB161" i="18"/>
  <c r="S162" i="18"/>
  <c r="AA162" i="18"/>
  <c r="R163" i="18"/>
  <c r="C163" i="18" s="1"/>
  <c r="Z163" i="18"/>
  <c r="Y164" i="18"/>
  <c r="P165" i="18"/>
  <c r="T165" i="18"/>
  <c r="AB165" i="18"/>
  <c r="R158" i="18"/>
  <c r="C158" i="18" s="1"/>
  <c r="V158" i="18"/>
  <c r="Z158" i="18"/>
  <c r="AD158" i="18"/>
  <c r="Q159" i="18"/>
  <c r="U159" i="18"/>
  <c r="Y159" i="18"/>
  <c r="AC159" i="18"/>
  <c r="P160" i="18"/>
  <c r="T160" i="18"/>
  <c r="X160" i="18"/>
  <c r="AB160" i="18"/>
  <c r="S161" i="18"/>
  <c r="W161" i="18"/>
  <c r="AA161" i="18"/>
  <c r="AE161" i="18"/>
  <c r="R162" i="18"/>
  <c r="C162" i="18" s="1"/>
  <c r="V162" i="18"/>
  <c r="Z162" i="18"/>
  <c r="AD162" i="18"/>
  <c r="Q163" i="18"/>
  <c r="U163" i="18"/>
  <c r="Y163" i="18"/>
  <c r="AC163" i="18"/>
  <c r="P164" i="18"/>
  <c r="T164" i="18"/>
  <c r="X164" i="18"/>
  <c r="AB164" i="18"/>
  <c r="S165" i="18"/>
  <c r="W165" i="18"/>
  <c r="AA165" i="18"/>
  <c r="AE165" i="18"/>
  <c r="W158" i="18"/>
  <c r="AE158" i="18"/>
  <c r="R159" i="18"/>
  <c r="C159" i="18" s="1"/>
  <c r="V159" i="18"/>
  <c r="Z159" i="18"/>
  <c r="AD159" i="18"/>
  <c r="Y160" i="18"/>
  <c r="P161" i="18"/>
  <c r="T161" i="18"/>
  <c r="X161" i="18"/>
  <c r="W162" i="18"/>
  <c r="V163" i="18"/>
  <c r="AD163" i="18"/>
  <c r="Q164" i="18"/>
  <c r="U164" i="18"/>
  <c r="AC164" i="18"/>
  <c r="R11" i="5"/>
  <c r="AE32" i="18"/>
  <c r="AA32" i="18"/>
  <c r="W32" i="18"/>
  <c r="S32" i="18"/>
  <c r="AD32" i="18"/>
  <c r="Z32" i="18"/>
  <c r="V32" i="18"/>
  <c r="R32" i="18"/>
  <c r="C32" i="18" s="1"/>
  <c r="AC32" i="18"/>
  <c r="Y32" i="18"/>
  <c r="U32" i="18"/>
  <c r="Q32" i="18"/>
  <c r="P32" i="18"/>
  <c r="B32" i="18" s="1"/>
  <c r="AB32" i="18"/>
  <c r="X32" i="18"/>
  <c r="T32" i="18"/>
  <c r="Y31" i="5"/>
  <c r="O31" i="5" s="1"/>
  <c r="K31" i="18" s="1"/>
  <c r="AA19" i="5"/>
  <c r="R19" i="5" s="1"/>
  <c r="L19" i="18" s="1"/>
  <c r="AA24" i="5"/>
  <c r="R24" i="5" s="1"/>
  <c r="L24" i="18" s="1"/>
  <c r="AA47" i="5"/>
  <c r="R47" i="5" s="1"/>
  <c r="L47" i="18" s="1"/>
  <c r="AA50" i="5"/>
  <c r="R50" i="5" s="1"/>
  <c r="L50" i="18" s="1"/>
  <c r="AA55" i="5"/>
  <c r="R55" i="5" s="1"/>
  <c r="L55" i="18" s="1"/>
  <c r="AA57" i="5"/>
  <c r="R57" i="5" s="1"/>
  <c r="L57" i="18" s="1"/>
  <c r="AA17" i="5"/>
  <c r="R17" i="5" s="1"/>
  <c r="L17" i="18" s="1"/>
  <c r="AA22" i="5"/>
  <c r="R22" i="5" s="1"/>
  <c r="L22" i="18" s="1"/>
  <c r="AA30" i="5"/>
  <c r="R30" i="5" s="1"/>
  <c r="L30" i="18" s="1"/>
  <c r="AA102" i="5"/>
  <c r="R102" i="5" s="1"/>
  <c r="L102" i="18" s="1"/>
  <c r="AA18" i="5"/>
  <c r="R18" i="5" s="1"/>
  <c r="L18" i="18" s="1"/>
  <c r="AA66" i="5"/>
  <c r="R66" i="5" s="1"/>
  <c r="L66" i="18" s="1"/>
  <c r="AA69" i="5"/>
  <c r="R69" i="5" s="1"/>
  <c r="L69" i="18" s="1"/>
  <c r="AA103" i="5"/>
  <c r="R103" i="5" s="1"/>
  <c r="L103" i="18" s="1"/>
  <c r="AA15" i="5"/>
  <c r="R15" i="5" s="1"/>
  <c r="L15" i="18" s="1"/>
  <c r="AA39" i="5"/>
  <c r="R39" i="5" s="1"/>
  <c r="AA42" i="5"/>
  <c r="R42" i="5" s="1"/>
  <c r="L42" i="18" s="1"/>
  <c r="AA65" i="5"/>
  <c r="R65" i="5" s="1"/>
  <c r="L65" i="18" s="1"/>
  <c r="AA104" i="5"/>
  <c r="R104" i="5" s="1"/>
  <c r="AA44" i="5"/>
  <c r="R44" i="5" s="1"/>
  <c r="AA56" i="5"/>
  <c r="R56" i="5" s="1"/>
  <c r="Q194" i="18"/>
  <c r="P193" i="18"/>
  <c r="B193" i="18" s="1"/>
  <c r="R191" i="18"/>
  <c r="C191" i="18" s="1"/>
  <c r="Q190" i="18"/>
  <c r="P189" i="18"/>
  <c r="R187" i="18"/>
  <c r="C187" i="18" s="1"/>
  <c r="Q186" i="18"/>
  <c r="P185" i="18"/>
  <c r="B185" i="18" s="1"/>
  <c r="R183" i="18"/>
  <c r="C183" i="18" s="1"/>
  <c r="Q182" i="18"/>
  <c r="P181" i="18"/>
  <c r="B181" i="18" s="1"/>
  <c r="R179" i="18"/>
  <c r="C179" i="18" s="1"/>
  <c r="Q178" i="18"/>
  <c r="P177" i="18"/>
  <c r="R175" i="18"/>
  <c r="C175" i="18" s="1"/>
  <c r="Q174" i="18"/>
  <c r="P173" i="18"/>
  <c r="B173" i="18" s="1"/>
  <c r="R171" i="18"/>
  <c r="C171" i="18" s="1"/>
  <c r="Q170" i="18"/>
  <c r="P169" i="18"/>
  <c r="B169" i="18" s="1"/>
  <c r="R167" i="18"/>
  <c r="C167" i="18" s="1"/>
  <c r="Q166" i="18"/>
  <c r="P157" i="18"/>
  <c r="B157" i="18" s="1"/>
  <c r="R155" i="18"/>
  <c r="C155" i="18" s="1"/>
  <c r="Q154" i="18"/>
  <c r="P153" i="18"/>
  <c r="B153" i="18" s="1"/>
  <c r="R151" i="18"/>
  <c r="C151" i="18" s="1"/>
  <c r="Q150" i="18"/>
  <c r="P149" i="18"/>
  <c r="B149" i="18" s="1"/>
  <c r="R147" i="18"/>
  <c r="C147" i="18" s="1"/>
  <c r="Q146" i="18"/>
  <c r="P145" i="18"/>
  <c r="R143" i="18"/>
  <c r="C143" i="18" s="1"/>
  <c r="Q142" i="18"/>
  <c r="P141" i="18"/>
  <c r="B141" i="18" s="1"/>
  <c r="R139" i="18"/>
  <c r="C139" i="18" s="1"/>
  <c r="Q138" i="18"/>
  <c r="P137" i="18"/>
  <c r="B137" i="18" s="1"/>
  <c r="R135" i="18"/>
  <c r="C135" i="18" s="1"/>
  <c r="Q134" i="18"/>
  <c r="P133" i="18"/>
  <c r="B133" i="18" s="1"/>
  <c r="R131" i="18"/>
  <c r="C131" i="18" s="1"/>
  <c r="Q130" i="18"/>
  <c r="P129" i="18"/>
  <c r="B129" i="18" s="1"/>
  <c r="R127" i="18"/>
  <c r="C127" i="18" s="1"/>
  <c r="Q126" i="18"/>
  <c r="P125" i="18"/>
  <c r="B125" i="18" s="1"/>
  <c r="R123" i="18"/>
  <c r="C123" i="18" s="1"/>
  <c r="Q122" i="18"/>
  <c r="P121" i="18"/>
  <c r="R119" i="18"/>
  <c r="C119" i="18" s="1"/>
  <c r="Q118" i="18"/>
  <c r="P117" i="18"/>
  <c r="B117" i="18" s="1"/>
  <c r="R115" i="18"/>
  <c r="C115" i="18" s="1"/>
  <c r="Q114" i="18"/>
  <c r="P113" i="18"/>
  <c r="B113" i="18" s="1"/>
  <c r="R111" i="18"/>
  <c r="C111" i="18" s="1"/>
  <c r="Q110" i="18"/>
  <c r="P109" i="18"/>
  <c r="B109" i="18" s="1"/>
  <c r="R107" i="18"/>
  <c r="C107" i="18" s="1"/>
  <c r="Q106" i="18"/>
  <c r="P105" i="18"/>
  <c r="B105" i="18" s="1"/>
  <c r="R103" i="18"/>
  <c r="C103" i="18" s="1"/>
  <c r="Q102" i="18"/>
  <c r="P101" i="18"/>
  <c r="B101" i="18" s="1"/>
  <c r="R99" i="18"/>
  <c r="C99" i="18" s="1"/>
  <c r="Q98" i="18"/>
  <c r="P97" i="18"/>
  <c r="B97" i="18" s="1"/>
  <c r="R95" i="18"/>
  <c r="C95" i="18" s="1"/>
  <c r="Q94" i="18"/>
  <c r="P93" i="18"/>
  <c r="B93" i="18" s="1"/>
  <c r="R91" i="18"/>
  <c r="C91" i="18" s="1"/>
  <c r="Q90" i="18"/>
  <c r="P89" i="18"/>
  <c r="B89" i="18" s="1"/>
  <c r="R87" i="18"/>
  <c r="C87" i="18" s="1"/>
  <c r="Q86" i="18"/>
  <c r="P85" i="18"/>
  <c r="B85" i="18" s="1"/>
  <c r="R83" i="18"/>
  <c r="C83" i="18" s="1"/>
  <c r="AA63" i="18"/>
  <c r="P194" i="18"/>
  <c r="B194" i="18" s="1"/>
  <c r="R192" i="18"/>
  <c r="C192" i="18" s="1"/>
  <c r="Q191" i="18"/>
  <c r="P190" i="18"/>
  <c r="B190" i="18" s="1"/>
  <c r="R188" i="18"/>
  <c r="C188" i="18" s="1"/>
  <c r="Q187" i="18"/>
  <c r="P186" i="18"/>
  <c r="B186" i="18" s="1"/>
  <c r="R184" i="18"/>
  <c r="C184" i="18" s="1"/>
  <c r="Q183" i="18"/>
  <c r="R180" i="18"/>
  <c r="C180" i="18" s="1"/>
  <c r="Q179" i="18"/>
  <c r="P178" i="18"/>
  <c r="B178" i="18" s="1"/>
  <c r="R176" i="18"/>
  <c r="C176" i="18" s="1"/>
  <c r="Q175" i="18"/>
  <c r="P174" i="18"/>
  <c r="B174" i="18" s="1"/>
  <c r="R172" i="18"/>
  <c r="C172" i="18" s="1"/>
  <c r="Q171" i="18"/>
  <c r="P170" i="18"/>
  <c r="B170" i="18" s="1"/>
  <c r="R168" i="18"/>
  <c r="C168" i="18" s="1"/>
  <c r="Q167" i="18"/>
  <c r="P166" i="18"/>
  <c r="B166" i="18" s="1"/>
  <c r="R156" i="18"/>
  <c r="C156" i="18" s="1"/>
  <c r="Q155" i="18"/>
  <c r="P154" i="18"/>
  <c r="B154" i="18" s="1"/>
  <c r="R152" i="18"/>
  <c r="C152" i="18" s="1"/>
  <c r="Q151" i="18"/>
  <c r="P150" i="18"/>
  <c r="B150" i="18" s="1"/>
  <c r="R148" i="18"/>
  <c r="C148" i="18" s="1"/>
  <c r="Q147" i="18"/>
  <c r="P146" i="18"/>
  <c r="B146" i="18" s="1"/>
  <c r="R144" i="18"/>
  <c r="C144" i="18" s="1"/>
  <c r="Q143" i="18"/>
  <c r="P142" i="18"/>
  <c r="B142" i="18" s="1"/>
  <c r="R140" i="18"/>
  <c r="C140" i="18" s="1"/>
  <c r="Q139" i="18"/>
  <c r="P138" i="18"/>
  <c r="B138" i="18" s="1"/>
  <c r="R136" i="18"/>
  <c r="C136" i="18" s="1"/>
  <c r="Q135" i="18"/>
  <c r="P134" i="18"/>
  <c r="B134" i="18" s="1"/>
  <c r="R132" i="18"/>
  <c r="C132" i="18" s="1"/>
  <c r="Q131" i="18"/>
  <c r="P130" i="18"/>
  <c r="B130" i="18" s="1"/>
  <c r="R128" i="18"/>
  <c r="C128" i="18" s="1"/>
  <c r="Q127" i="18"/>
  <c r="P126" i="18"/>
  <c r="B126" i="18" s="1"/>
  <c r="R124" i="18"/>
  <c r="C124" i="18" s="1"/>
  <c r="Q123" i="18"/>
  <c r="P122" i="18"/>
  <c r="B122" i="18" s="1"/>
  <c r="R120" i="18"/>
  <c r="C120" i="18" s="1"/>
  <c r="Q119" i="18"/>
  <c r="P118" i="18"/>
  <c r="B118" i="18" s="1"/>
  <c r="R116" i="18"/>
  <c r="C116" i="18" s="1"/>
  <c r="Q115" i="18"/>
  <c r="P114" i="18"/>
  <c r="R112" i="18"/>
  <c r="C112" i="18" s="1"/>
  <c r="Q111" i="18"/>
  <c r="P110" i="18"/>
  <c r="B110" i="18" s="1"/>
  <c r="R108" i="18"/>
  <c r="C108" i="18" s="1"/>
  <c r="Q107" i="18"/>
  <c r="P106" i="18"/>
  <c r="R104" i="18"/>
  <c r="C104" i="18" s="1"/>
  <c r="Q103" i="18"/>
  <c r="P102" i="18"/>
  <c r="B102" i="18" s="1"/>
  <c r="R100" i="18"/>
  <c r="C100" i="18" s="1"/>
  <c r="Q99" i="18"/>
  <c r="P98" i="18"/>
  <c r="B98" i="18" s="1"/>
  <c r="R96" i="18"/>
  <c r="C96" i="18" s="1"/>
  <c r="Q95" i="18"/>
  <c r="P94" i="18"/>
  <c r="B94" i="18" s="1"/>
  <c r="R92" i="18"/>
  <c r="C92" i="18" s="1"/>
  <c r="Q91" i="18"/>
  <c r="P90" i="18"/>
  <c r="B90" i="18" s="1"/>
  <c r="R88" i="18"/>
  <c r="C88" i="18" s="1"/>
  <c r="Q87" i="18"/>
  <c r="P86" i="18"/>
  <c r="B86" i="18" s="1"/>
  <c r="R84" i="18"/>
  <c r="C84" i="18" s="1"/>
  <c r="AA9" i="18"/>
  <c r="R193" i="18"/>
  <c r="C193" i="18" s="1"/>
  <c r="Q192" i="18"/>
  <c r="P191" i="18"/>
  <c r="R189" i="18"/>
  <c r="C189" i="18" s="1"/>
  <c r="Q188" i="18"/>
  <c r="P187" i="18"/>
  <c r="B187" i="18" s="1"/>
  <c r="R185" i="18"/>
  <c r="C185" i="18" s="1"/>
  <c r="Q184" i="18"/>
  <c r="P183" i="18"/>
  <c r="B183" i="18" s="1"/>
  <c r="R181" i="18"/>
  <c r="C181" i="18" s="1"/>
  <c r="Q180" i="18"/>
  <c r="P179" i="18"/>
  <c r="B179" i="18" s="1"/>
  <c r="R177" i="18"/>
  <c r="C177" i="18" s="1"/>
  <c r="Q176" i="18"/>
  <c r="P175" i="18"/>
  <c r="R173" i="18"/>
  <c r="C173" i="18" s="1"/>
  <c r="Q172" i="18"/>
  <c r="P171" i="18"/>
  <c r="B171" i="18" s="1"/>
  <c r="R169" i="18"/>
  <c r="C169" i="18" s="1"/>
  <c r="Q168" i="18"/>
  <c r="P167" i="18"/>
  <c r="B167" i="18" s="1"/>
  <c r="R157" i="18"/>
  <c r="C157" i="18" s="1"/>
  <c r="Q156" i="18"/>
  <c r="P155" i="18"/>
  <c r="B155" i="18" s="1"/>
  <c r="R153" i="18"/>
  <c r="C153" i="18" s="1"/>
  <c r="Q152" i="18"/>
  <c r="P151" i="18"/>
  <c r="B151" i="18" s="1"/>
  <c r="R149" i="18"/>
  <c r="C149" i="18" s="1"/>
  <c r="Q148" i="18"/>
  <c r="P147" i="18"/>
  <c r="B147" i="18" s="1"/>
  <c r="R145" i="18"/>
  <c r="C145" i="18" s="1"/>
  <c r="Q144" i="18"/>
  <c r="P143" i="18"/>
  <c r="B143" i="18" s="1"/>
  <c r="R141" i="18"/>
  <c r="C141" i="18" s="1"/>
  <c r="Q140" i="18"/>
  <c r="P139" i="18"/>
  <c r="B139" i="18" s="1"/>
  <c r="R137" i="18"/>
  <c r="C137" i="18" s="1"/>
  <c r="Q136" i="18"/>
  <c r="P135" i="18"/>
  <c r="B135" i="18" s="1"/>
  <c r="R133" i="18"/>
  <c r="C133" i="18" s="1"/>
  <c r="Q132" i="18"/>
  <c r="P131" i="18"/>
  <c r="B131" i="18" s="1"/>
  <c r="R129" i="18"/>
  <c r="C129" i="18" s="1"/>
  <c r="Q128" i="18"/>
  <c r="P127" i="18"/>
  <c r="B127" i="18" s="1"/>
  <c r="R125" i="18"/>
  <c r="C125" i="18" s="1"/>
  <c r="Q124" i="18"/>
  <c r="P123" i="18"/>
  <c r="B123" i="18" s="1"/>
  <c r="R121" i="18"/>
  <c r="C121" i="18" s="1"/>
  <c r="Q120" i="18"/>
  <c r="P119" i="18"/>
  <c r="B119" i="18" s="1"/>
  <c r="R117" i="18"/>
  <c r="C117" i="18" s="1"/>
  <c r="Q116" i="18"/>
  <c r="P115" i="18"/>
  <c r="R113" i="18"/>
  <c r="C113" i="18" s="1"/>
  <c r="Q112" i="18"/>
  <c r="P111" i="18"/>
  <c r="B111" i="18" s="1"/>
  <c r="R109" i="18"/>
  <c r="C109" i="18" s="1"/>
  <c r="Q108" i="18"/>
  <c r="P107" i="18"/>
  <c r="B107" i="18" s="1"/>
  <c r="R105" i="18"/>
  <c r="C105" i="18" s="1"/>
  <c r="Q104" i="18"/>
  <c r="P103" i="18"/>
  <c r="B103" i="18" s="1"/>
  <c r="R101" i="18"/>
  <c r="C101" i="18" s="1"/>
  <c r="Q100" i="18"/>
  <c r="P99" i="18"/>
  <c r="B99" i="18" s="1"/>
  <c r="R97" i="18"/>
  <c r="C97" i="18" s="1"/>
  <c r="Q96" i="18"/>
  <c r="P95" i="18"/>
  <c r="B95" i="18" s="1"/>
  <c r="R93" i="18"/>
  <c r="C93" i="18" s="1"/>
  <c r="Q92" i="18"/>
  <c r="P91" i="18"/>
  <c r="B91" i="18" s="1"/>
  <c r="R89" i="18"/>
  <c r="C89" i="18" s="1"/>
  <c r="Q88" i="18"/>
  <c r="P87" i="18"/>
  <c r="B87" i="18" s="1"/>
  <c r="R85" i="18"/>
  <c r="C85" i="18" s="1"/>
  <c r="Q84" i="18"/>
  <c r="R190" i="18"/>
  <c r="C190" i="18" s="1"/>
  <c r="Q185" i="18"/>
  <c r="P180" i="18"/>
  <c r="B180" i="18" s="1"/>
  <c r="R174" i="18"/>
  <c r="C174" i="18" s="1"/>
  <c r="Q169" i="18"/>
  <c r="Q153" i="18"/>
  <c r="P148" i="18"/>
  <c r="B148" i="18" s="1"/>
  <c r="R142" i="18"/>
  <c r="C142" i="18" s="1"/>
  <c r="Q137" i="18"/>
  <c r="P132" i="18"/>
  <c r="B132" i="18" s="1"/>
  <c r="R126" i="18"/>
  <c r="C126" i="18" s="1"/>
  <c r="Q121" i="18"/>
  <c r="P116" i="18"/>
  <c r="B116" i="18" s="1"/>
  <c r="R110" i="18"/>
  <c r="C110" i="18" s="1"/>
  <c r="Q105" i="18"/>
  <c r="P100" i="18"/>
  <c r="B100" i="18" s="1"/>
  <c r="R94" i="18"/>
  <c r="C94" i="18" s="1"/>
  <c r="Q89" i="18"/>
  <c r="P84" i="18"/>
  <c r="B84" i="18" s="1"/>
  <c r="Q82" i="18"/>
  <c r="P81" i="18"/>
  <c r="B81" i="18" s="1"/>
  <c r="R79" i="18"/>
  <c r="C79" i="18" s="1"/>
  <c r="Q78" i="18"/>
  <c r="P77" i="18"/>
  <c r="B77" i="18" s="1"/>
  <c r="R75" i="18"/>
  <c r="C75" i="18" s="1"/>
  <c r="Q74" i="18"/>
  <c r="P73" i="18"/>
  <c r="R71" i="18"/>
  <c r="C71" i="18" s="1"/>
  <c r="Q70" i="18"/>
  <c r="P69" i="18"/>
  <c r="B69" i="18" s="1"/>
  <c r="R67" i="18"/>
  <c r="C67" i="18" s="1"/>
  <c r="Q66" i="18"/>
  <c r="P65" i="18"/>
  <c r="B65" i="18" s="1"/>
  <c r="R63" i="18"/>
  <c r="C63" i="18" s="1"/>
  <c r="Q62" i="18"/>
  <c r="P61" i="18"/>
  <c r="B61" i="18" s="1"/>
  <c r="R59" i="18"/>
  <c r="C59" i="18" s="1"/>
  <c r="Q58" i="18"/>
  <c r="P57" i="18"/>
  <c r="B57" i="18" s="1"/>
  <c r="R55" i="18"/>
  <c r="C55" i="18" s="1"/>
  <c r="Q54" i="18"/>
  <c r="P53" i="18"/>
  <c r="B53" i="18" s="1"/>
  <c r="R51" i="18"/>
  <c r="C51" i="18" s="1"/>
  <c r="Q50" i="18"/>
  <c r="P49" i="18"/>
  <c r="B49" i="18" s="1"/>
  <c r="R47" i="18"/>
  <c r="C47" i="18" s="1"/>
  <c r="Q46" i="18"/>
  <c r="P45" i="18"/>
  <c r="B45" i="18" s="1"/>
  <c r="R43" i="18"/>
  <c r="C43" i="18" s="1"/>
  <c r="Q42" i="18"/>
  <c r="P41" i="18"/>
  <c r="B41" i="18" s="1"/>
  <c r="R39" i="18"/>
  <c r="C39" i="18" s="1"/>
  <c r="Q38" i="18"/>
  <c r="P37" i="18"/>
  <c r="B37" i="18" s="1"/>
  <c r="R35" i="18"/>
  <c r="C35" i="18" s="1"/>
  <c r="Q34" i="18"/>
  <c r="P33" i="18"/>
  <c r="B33" i="18" s="1"/>
  <c r="R30" i="18"/>
  <c r="C30" i="18" s="1"/>
  <c r="Q29" i="18"/>
  <c r="P28" i="18"/>
  <c r="B28" i="18" s="1"/>
  <c r="R26" i="18"/>
  <c r="C26" i="18" s="1"/>
  <c r="Q25" i="18"/>
  <c r="P24" i="18"/>
  <c r="B24" i="18" s="1"/>
  <c r="R22" i="18"/>
  <c r="C22" i="18" s="1"/>
  <c r="Q21" i="18"/>
  <c r="P20" i="18"/>
  <c r="B20" i="18" s="1"/>
  <c r="R18" i="18"/>
  <c r="C18" i="18" s="1"/>
  <c r="Q17" i="18"/>
  <c r="P16" i="18"/>
  <c r="B16" i="18" s="1"/>
  <c r="R14" i="18"/>
  <c r="C14" i="18" s="1"/>
  <c r="Q13" i="18"/>
  <c r="P12" i="18"/>
  <c r="B12" i="18" s="1"/>
  <c r="R10" i="18"/>
  <c r="C10" i="18" s="1"/>
  <c r="Q9" i="18"/>
  <c r="AC63" i="18"/>
  <c r="X63" i="18"/>
  <c r="T63" i="18"/>
  <c r="AC194" i="18"/>
  <c r="Y194" i="18"/>
  <c r="U194" i="18"/>
  <c r="AD193" i="18"/>
  <c r="Z193" i="18"/>
  <c r="V193" i="18"/>
  <c r="R194" i="18"/>
  <c r="C194" i="18" s="1"/>
  <c r="Q189" i="18"/>
  <c r="P184" i="18"/>
  <c r="B184" i="18" s="1"/>
  <c r="R178" i="18"/>
  <c r="C178" i="18" s="1"/>
  <c r="Q173" i="18"/>
  <c r="P168" i="18"/>
  <c r="B168" i="18" s="1"/>
  <c r="Q157" i="18"/>
  <c r="P152" i="18"/>
  <c r="B152" i="18" s="1"/>
  <c r="R146" i="18"/>
  <c r="C146" i="18" s="1"/>
  <c r="Q141" i="18"/>
  <c r="P136" i="18"/>
  <c r="B136" i="18" s="1"/>
  <c r="R130" i="18"/>
  <c r="C130" i="18" s="1"/>
  <c r="Q125" i="18"/>
  <c r="P120" i="18"/>
  <c r="B120" i="18" s="1"/>
  <c r="R114" i="18"/>
  <c r="C114" i="18" s="1"/>
  <c r="Q109" i="18"/>
  <c r="P104" i="18"/>
  <c r="B104" i="18" s="1"/>
  <c r="R98" i="18"/>
  <c r="C98" i="18" s="1"/>
  <c r="Q93" i="18"/>
  <c r="P88" i="18"/>
  <c r="B88" i="18" s="1"/>
  <c r="Q83" i="18"/>
  <c r="P82" i="18"/>
  <c r="B82" i="18" s="1"/>
  <c r="R80" i="18"/>
  <c r="C80" i="18" s="1"/>
  <c r="Q79" i="18"/>
  <c r="P78" i="18"/>
  <c r="B78" i="18" s="1"/>
  <c r="R76" i="18"/>
  <c r="C76" i="18" s="1"/>
  <c r="Q75" i="18"/>
  <c r="P74" i="18"/>
  <c r="B74" i="18" s="1"/>
  <c r="R72" i="18"/>
  <c r="C72" i="18" s="1"/>
  <c r="Q71" i="18"/>
  <c r="P70" i="18"/>
  <c r="R68" i="18"/>
  <c r="C68" i="18" s="1"/>
  <c r="Q67" i="18"/>
  <c r="P66" i="18"/>
  <c r="B66" i="18" s="1"/>
  <c r="R64" i="18"/>
  <c r="C64" i="18" s="1"/>
  <c r="Q63" i="18"/>
  <c r="P62" i="18"/>
  <c r="B62" i="18" s="1"/>
  <c r="R60" i="18"/>
  <c r="C60" i="18" s="1"/>
  <c r="Q59" i="18"/>
  <c r="P58" i="18"/>
  <c r="B58" i="18" s="1"/>
  <c r="R56" i="18"/>
  <c r="C56" i="18" s="1"/>
  <c r="Q55" i="18"/>
  <c r="P54" i="18"/>
  <c r="R52" i="18"/>
  <c r="C52" i="18" s="1"/>
  <c r="Q51" i="18"/>
  <c r="P50" i="18"/>
  <c r="B50" i="18" s="1"/>
  <c r="R48" i="18"/>
  <c r="C48" i="18" s="1"/>
  <c r="Q47" i="18"/>
  <c r="P46" i="18"/>
  <c r="B46" i="18" s="1"/>
  <c r="R44" i="18"/>
  <c r="C44" i="18" s="1"/>
  <c r="Q43" i="18"/>
  <c r="P42" i="18"/>
  <c r="B42" i="18" s="1"/>
  <c r="R40" i="18"/>
  <c r="C40" i="18" s="1"/>
  <c r="Q39" i="18"/>
  <c r="P38" i="18"/>
  <c r="B38" i="18" s="1"/>
  <c r="R36" i="18"/>
  <c r="C36" i="18" s="1"/>
  <c r="Q35" i="18"/>
  <c r="P34" i="18"/>
  <c r="B34" i="18" s="1"/>
  <c r="R31" i="18"/>
  <c r="C31" i="18" s="1"/>
  <c r="Q30" i="18"/>
  <c r="P29" i="18"/>
  <c r="B29" i="18" s="1"/>
  <c r="R27" i="18"/>
  <c r="C27" i="18" s="1"/>
  <c r="Q26" i="18"/>
  <c r="P25" i="18"/>
  <c r="B25" i="18" s="1"/>
  <c r="R23" i="18"/>
  <c r="C23" i="18" s="1"/>
  <c r="Q22" i="18"/>
  <c r="P21" i="18"/>
  <c r="R19" i="18"/>
  <c r="C19" i="18" s="1"/>
  <c r="Q18" i="18"/>
  <c r="P17" i="18"/>
  <c r="B17" i="18" s="1"/>
  <c r="R15" i="18"/>
  <c r="C15" i="18" s="1"/>
  <c r="Q14" i="18"/>
  <c r="P13" i="18"/>
  <c r="B13" i="18" s="1"/>
  <c r="R11" i="18"/>
  <c r="C11" i="18" s="1"/>
  <c r="Q10" i="18"/>
  <c r="P9" i="18"/>
  <c r="B9" i="18" s="1"/>
  <c r="AB63" i="18"/>
  <c r="W63" i="18"/>
  <c r="S63" i="18"/>
  <c r="AB194" i="18"/>
  <c r="X194" i="18"/>
  <c r="T194" i="18"/>
  <c r="AC193" i="18"/>
  <c r="Y193" i="18"/>
  <c r="U193" i="18"/>
  <c r="AD192" i="18"/>
  <c r="Q193" i="18"/>
  <c r="P188" i="18"/>
  <c r="B188" i="18" s="1"/>
  <c r="R182" i="18"/>
  <c r="C182" i="18" s="1"/>
  <c r="Q177" i="18"/>
  <c r="P172" i="18"/>
  <c r="B172" i="18" s="1"/>
  <c r="R166" i="18"/>
  <c r="C166" i="18" s="1"/>
  <c r="P156" i="18"/>
  <c r="B156" i="18" s="1"/>
  <c r="R150" i="18"/>
  <c r="C150" i="18" s="1"/>
  <c r="Q145" i="18"/>
  <c r="P140" i="18"/>
  <c r="B140" i="18" s="1"/>
  <c r="R134" i="18"/>
  <c r="C134" i="18" s="1"/>
  <c r="Q129" i="18"/>
  <c r="P124" i="18"/>
  <c r="B124" i="18" s="1"/>
  <c r="R118" i="18"/>
  <c r="C118" i="18" s="1"/>
  <c r="Q113" i="18"/>
  <c r="P108" i="18"/>
  <c r="R102" i="18"/>
  <c r="C102" i="18" s="1"/>
  <c r="Q97" i="18"/>
  <c r="P92" i="18"/>
  <c r="B92" i="18" s="1"/>
  <c r="R86" i="18"/>
  <c r="C86" i="18" s="1"/>
  <c r="P83" i="18"/>
  <c r="B83" i="18" s="1"/>
  <c r="R81" i="18"/>
  <c r="C81" i="18" s="1"/>
  <c r="Q80" i="18"/>
  <c r="P79" i="18"/>
  <c r="B79" i="18" s="1"/>
  <c r="R77" i="18"/>
  <c r="C77" i="18" s="1"/>
  <c r="Q76" i="18"/>
  <c r="P75" i="18"/>
  <c r="B75" i="18" s="1"/>
  <c r="R73" i="18"/>
  <c r="C73" i="18" s="1"/>
  <c r="Q72" i="18"/>
  <c r="P71" i="18"/>
  <c r="B71" i="18" s="1"/>
  <c r="R69" i="18"/>
  <c r="C69" i="18" s="1"/>
  <c r="Q68" i="18"/>
  <c r="P67" i="18"/>
  <c r="B67" i="18" s="1"/>
  <c r="R65" i="18"/>
  <c r="C65" i="18" s="1"/>
  <c r="Q64" i="18"/>
  <c r="P63" i="18"/>
  <c r="B63" i="18" s="1"/>
  <c r="R61" i="18"/>
  <c r="C61" i="18" s="1"/>
  <c r="Q60" i="18"/>
  <c r="P59" i="18"/>
  <c r="B59" i="18" s="1"/>
  <c r="R57" i="18"/>
  <c r="C57" i="18" s="1"/>
  <c r="Q56" i="18"/>
  <c r="P55" i="18"/>
  <c r="B55" i="18" s="1"/>
  <c r="R53" i="18"/>
  <c r="C53" i="18" s="1"/>
  <c r="Q52" i="18"/>
  <c r="P51" i="18"/>
  <c r="B51" i="18" s="1"/>
  <c r="R49" i="18"/>
  <c r="C49" i="18" s="1"/>
  <c r="Q48" i="18"/>
  <c r="P47" i="18"/>
  <c r="B47" i="18" s="1"/>
  <c r="R45" i="18"/>
  <c r="C45" i="18" s="1"/>
  <c r="Q44" i="18"/>
  <c r="P43" i="18"/>
  <c r="R41" i="18"/>
  <c r="C41" i="18" s="1"/>
  <c r="Q40" i="18"/>
  <c r="P39" i="18"/>
  <c r="B39" i="18" s="1"/>
  <c r="R37" i="18"/>
  <c r="C37" i="18" s="1"/>
  <c r="Q36" i="18"/>
  <c r="P35" i="18"/>
  <c r="B35" i="18" s="1"/>
  <c r="R33" i="18"/>
  <c r="C33" i="18" s="1"/>
  <c r="Q31" i="18"/>
  <c r="P30" i="18"/>
  <c r="B30" i="18" s="1"/>
  <c r="R28" i="18"/>
  <c r="C28" i="18" s="1"/>
  <c r="Q27" i="18"/>
  <c r="P26" i="18"/>
  <c r="B26" i="18" s="1"/>
  <c r="R24" i="18"/>
  <c r="C24" i="18" s="1"/>
  <c r="Q23" i="18"/>
  <c r="P22" i="18"/>
  <c r="B22" i="18" s="1"/>
  <c r="R20" i="18"/>
  <c r="C20" i="18" s="1"/>
  <c r="Q19" i="18"/>
  <c r="P18" i="18"/>
  <c r="B18" i="18" s="1"/>
  <c r="R16" i="18"/>
  <c r="C16" i="18" s="1"/>
  <c r="Q15" i="18"/>
  <c r="P14" i="18"/>
  <c r="B14" i="18" s="1"/>
  <c r="R12" i="18"/>
  <c r="C12" i="18" s="1"/>
  <c r="Q11" i="18"/>
  <c r="P10" i="18"/>
  <c r="B10" i="18" s="1"/>
  <c r="AE63" i="18"/>
  <c r="Z63" i="18"/>
  <c r="V63" i="18"/>
  <c r="AE194" i="18"/>
  <c r="AA194" i="18"/>
  <c r="W194" i="18"/>
  <c r="S194" i="18"/>
  <c r="AB193" i="18"/>
  <c r="X193" i="18"/>
  <c r="T193" i="18"/>
  <c r="AC192" i="18"/>
  <c r="P176" i="18"/>
  <c r="B176" i="18" s="1"/>
  <c r="R154" i="18"/>
  <c r="C154" i="18" s="1"/>
  <c r="Q133" i="18"/>
  <c r="P112" i="18"/>
  <c r="B112" i="18" s="1"/>
  <c r="R90" i="18"/>
  <c r="C90" i="18" s="1"/>
  <c r="P80" i="18"/>
  <c r="B80" i="18" s="1"/>
  <c r="R74" i="18"/>
  <c r="C74" i="18" s="1"/>
  <c r="Q69" i="18"/>
  <c r="P64" i="18"/>
  <c r="B64" i="18" s="1"/>
  <c r="R58" i="18"/>
  <c r="C58" i="18" s="1"/>
  <c r="Q53" i="18"/>
  <c r="P48" i="18"/>
  <c r="B48" i="18" s="1"/>
  <c r="R42" i="18"/>
  <c r="C42" i="18" s="1"/>
  <c r="Q37" i="18"/>
  <c r="P31" i="18"/>
  <c r="B31" i="18" s="1"/>
  <c r="R25" i="18"/>
  <c r="C25" i="18" s="1"/>
  <c r="Q20" i="18"/>
  <c r="P15" i="18"/>
  <c r="B15" i="18" s="1"/>
  <c r="R9" i="18"/>
  <c r="C9" i="18" s="1"/>
  <c r="AD194" i="18"/>
  <c r="AA193" i="18"/>
  <c r="AB192" i="18"/>
  <c r="X192" i="18"/>
  <c r="T192" i="18"/>
  <c r="AC191" i="18"/>
  <c r="Y191" i="18"/>
  <c r="U191" i="18"/>
  <c r="AD190" i="18"/>
  <c r="Z190" i="18"/>
  <c r="V190" i="18"/>
  <c r="AE189" i="18"/>
  <c r="AA189" i="18"/>
  <c r="W189" i="18"/>
  <c r="S189" i="18"/>
  <c r="AB188" i="18"/>
  <c r="X188" i="18"/>
  <c r="T188" i="18"/>
  <c r="AC187" i="18"/>
  <c r="Y187" i="18"/>
  <c r="U187" i="18"/>
  <c r="AD186" i="18"/>
  <c r="Z186" i="18"/>
  <c r="V186" i="18"/>
  <c r="AE185" i="18"/>
  <c r="AA185" i="18"/>
  <c r="W185" i="18"/>
  <c r="S185" i="18"/>
  <c r="AB184" i="18"/>
  <c r="X184" i="18"/>
  <c r="T184" i="18"/>
  <c r="AC183" i="18"/>
  <c r="Y183" i="18"/>
  <c r="U183" i="18"/>
  <c r="AD182" i="18"/>
  <c r="Z182" i="18"/>
  <c r="V182" i="18"/>
  <c r="AE181" i="18"/>
  <c r="AA181" i="18"/>
  <c r="W181" i="18"/>
  <c r="S181" i="18"/>
  <c r="AB180" i="18"/>
  <c r="X180" i="18"/>
  <c r="T180" i="18"/>
  <c r="AC179" i="18"/>
  <c r="Y179" i="18"/>
  <c r="U179" i="18"/>
  <c r="AD178" i="18"/>
  <c r="Z178" i="18"/>
  <c r="V178" i="18"/>
  <c r="AE177" i="18"/>
  <c r="AA177" i="18"/>
  <c r="W177" i="18"/>
  <c r="S177" i="18"/>
  <c r="AB176" i="18"/>
  <c r="X176" i="18"/>
  <c r="T176" i="18"/>
  <c r="AC175" i="18"/>
  <c r="Y175" i="18"/>
  <c r="U175" i="18"/>
  <c r="AD174" i="18"/>
  <c r="Z174" i="18"/>
  <c r="V174" i="18"/>
  <c r="AE173" i="18"/>
  <c r="AA173" i="18"/>
  <c r="W173" i="18"/>
  <c r="S173" i="18"/>
  <c r="AB172" i="18"/>
  <c r="X172" i="18"/>
  <c r="T172" i="18"/>
  <c r="AC171" i="18"/>
  <c r="Y171" i="18"/>
  <c r="U171" i="18"/>
  <c r="AD170" i="18"/>
  <c r="Z170" i="18"/>
  <c r="V170" i="18"/>
  <c r="AE169" i="18"/>
  <c r="AA169" i="18"/>
  <c r="W169" i="18"/>
  <c r="S169" i="18"/>
  <c r="AB168" i="18"/>
  <c r="X168" i="18"/>
  <c r="T168" i="18"/>
  <c r="AC167" i="18"/>
  <c r="Y167" i="18"/>
  <c r="U167" i="18"/>
  <c r="AD166" i="18"/>
  <c r="Z166" i="18"/>
  <c r="V166" i="18"/>
  <c r="AE157" i="18"/>
  <c r="AA157" i="18"/>
  <c r="W157" i="18"/>
  <c r="S157" i="18"/>
  <c r="AB156" i="18"/>
  <c r="X156" i="18"/>
  <c r="T156" i="18"/>
  <c r="AC155" i="18"/>
  <c r="Y155" i="18"/>
  <c r="U155" i="18"/>
  <c r="AD154" i="18"/>
  <c r="Z154" i="18"/>
  <c r="V154" i="18"/>
  <c r="AE153" i="18"/>
  <c r="AA153" i="18"/>
  <c r="W153" i="18"/>
  <c r="S153" i="18"/>
  <c r="AB152" i="18"/>
  <c r="X152" i="18"/>
  <c r="T152" i="18"/>
  <c r="AC151" i="18"/>
  <c r="Y151" i="18"/>
  <c r="U151" i="18"/>
  <c r="AD150" i="18"/>
  <c r="Z150" i="18"/>
  <c r="V150" i="18"/>
  <c r="AE149" i="18"/>
  <c r="AA149" i="18"/>
  <c r="W149" i="18"/>
  <c r="S149" i="18"/>
  <c r="AB148" i="18"/>
  <c r="X148" i="18"/>
  <c r="T148" i="18"/>
  <c r="AC147" i="18"/>
  <c r="Y147" i="18"/>
  <c r="U147" i="18"/>
  <c r="P192" i="18"/>
  <c r="B192" i="18" s="1"/>
  <c r="R170" i="18"/>
  <c r="C170" i="18" s="1"/>
  <c r="Q149" i="18"/>
  <c r="P128" i="18"/>
  <c r="B128" i="18" s="1"/>
  <c r="R106" i="18"/>
  <c r="C106" i="18" s="1"/>
  <c r="Q85" i="18"/>
  <c r="R78" i="18"/>
  <c r="C78" i="18" s="1"/>
  <c r="Q73" i="18"/>
  <c r="P68" i="18"/>
  <c r="B68" i="18" s="1"/>
  <c r="R62" i="18"/>
  <c r="C62" i="18" s="1"/>
  <c r="Q57" i="18"/>
  <c r="P52" i="18"/>
  <c r="B52" i="18" s="1"/>
  <c r="R46" i="18"/>
  <c r="C46" i="18" s="1"/>
  <c r="Q41" i="18"/>
  <c r="P36" i="18"/>
  <c r="B36" i="18" s="1"/>
  <c r="R29" i="18"/>
  <c r="C29" i="18" s="1"/>
  <c r="Q24" i="18"/>
  <c r="P19" i="18"/>
  <c r="B19" i="18" s="1"/>
  <c r="R13" i="18"/>
  <c r="C13" i="18" s="1"/>
  <c r="AD63" i="18"/>
  <c r="Z194" i="18"/>
  <c r="W193" i="18"/>
  <c r="AA192" i="18"/>
  <c r="W192" i="18"/>
  <c r="S192" i="18"/>
  <c r="AB191" i="18"/>
  <c r="X191" i="18"/>
  <c r="T191" i="18"/>
  <c r="AC190" i="18"/>
  <c r="Y190" i="18"/>
  <c r="U190" i="18"/>
  <c r="AD189" i="18"/>
  <c r="Z189" i="18"/>
  <c r="V189" i="18"/>
  <c r="AE188" i="18"/>
  <c r="AA188" i="18"/>
  <c r="W188" i="18"/>
  <c r="S188" i="18"/>
  <c r="AB187" i="18"/>
  <c r="X187" i="18"/>
  <c r="T187" i="18"/>
  <c r="AC186" i="18"/>
  <c r="Y186" i="18"/>
  <c r="U186" i="18"/>
  <c r="AD185" i="18"/>
  <c r="Z185" i="18"/>
  <c r="V185" i="18"/>
  <c r="AE184" i="18"/>
  <c r="AA184" i="18"/>
  <c r="W184" i="18"/>
  <c r="S184" i="18"/>
  <c r="AB183" i="18"/>
  <c r="X183" i="18"/>
  <c r="T183" i="18"/>
  <c r="AC182" i="18"/>
  <c r="Y182" i="18"/>
  <c r="U182" i="18"/>
  <c r="AD181" i="18"/>
  <c r="Z181" i="18"/>
  <c r="V181" i="18"/>
  <c r="AE180" i="18"/>
  <c r="AA180" i="18"/>
  <c r="W180" i="18"/>
  <c r="S180" i="18"/>
  <c r="AB179" i="18"/>
  <c r="X179" i="18"/>
  <c r="T179" i="18"/>
  <c r="AC178" i="18"/>
  <c r="Y178" i="18"/>
  <c r="U178" i="18"/>
  <c r="AD177" i="18"/>
  <c r="Z177" i="18"/>
  <c r="V177" i="18"/>
  <c r="AE176" i="18"/>
  <c r="AA176" i="18"/>
  <c r="W176" i="18"/>
  <c r="S176" i="18"/>
  <c r="AB175" i="18"/>
  <c r="X175" i="18"/>
  <c r="T175" i="18"/>
  <c r="AC174" i="18"/>
  <c r="Y174" i="18"/>
  <c r="U174" i="18"/>
  <c r="AD173" i="18"/>
  <c r="Z173" i="18"/>
  <c r="V173" i="18"/>
  <c r="AE172" i="18"/>
  <c r="AA172" i="18"/>
  <c r="W172" i="18"/>
  <c r="S172" i="18"/>
  <c r="AB171" i="18"/>
  <c r="X171" i="18"/>
  <c r="T171" i="18"/>
  <c r="AC170" i="18"/>
  <c r="Y170" i="18"/>
  <c r="U170" i="18"/>
  <c r="AD169" i="18"/>
  <c r="Z169" i="18"/>
  <c r="V169" i="18"/>
  <c r="AE168" i="18"/>
  <c r="AA168" i="18"/>
  <c r="W168" i="18"/>
  <c r="S168" i="18"/>
  <c r="AB167" i="18"/>
  <c r="X167" i="18"/>
  <c r="T167" i="18"/>
  <c r="AC166" i="18"/>
  <c r="Y166" i="18"/>
  <c r="U166" i="18"/>
  <c r="AD157" i="18"/>
  <c r="Z157" i="18"/>
  <c r="V157" i="18"/>
  <c r="AE156" i="18"/>
  <c r="AA156" i="18"/>
  <c r="W156" i="18"/>
  <c r="S156" i="18"/>
  <c r="AB155" i="18"/>
  <c r="X155" i="18"/>
  <c r="T155" i="18"/>
  <c r="AC154" i="18"/>
  <c r="Y154" i="18"/>
  <c r="U154" i="18"/>
  <c r="AD153" i="18"/>
  <c r="Z153" i="18"/>
  <c r="V153" i="18"/>
  <c r="AE152" i="18"/>
  <c r="AA152" i="18"/>
  <c r="W152" i="18"/>
  <c r="S152" i="18"/>
  <c r="AB151" i="18"/>
  <c r="X151" i="18"/>
  <c r="T151" i="18"/>
  <c r="AC150" i="18"/>
  <c r="Y150" i="18"/>
  <c r="U150" i="18"/>
  <c r="AD149" i="18"/>
  <c r="Z149" i="18"/>
  <c r="V149" i="18"/>
  <c r="AE148" i="18"/>
  <c r="AA148" i="18"/>
  <c r="W148" i="18"/>
  <c r="S148" i="18"/>
  <c r="AB147" i="18"/>
  <c r="X147" i="18"/>
  <c r="Q117" i="18"/>
  <c r="Q81" i="18"/>
  <c r="R70" i="18"/>
  <c r="C70" i="18" s="1"/>
  <c r="P60" i="18"/>
  <c r="B60" i="18" s="1"/>
  <c r="Q49" i="18"/>
  <c r="R38" i="18"/>
  <c r="C38" i="18" s="1"/>
  <c r="P27" i="18"/>
  <c r="B27" i="18" s="1"/>
  <c r="Q16" i="18"/>
  <c r="U63" i="18"/>
  <c r="AE192" i="18"/>
  <c r="U192" i="18"/>
  <c r="Z191" i="18"/>
  <c r="AE190" i="18"/>
  <c r="W190" i="18"/>
  <c r="AB189" i="18"/>
  <c r="T189" i="18"/>
  <c r="Y188" i="18"/>
  <c r="AD187" i="18"/>
  <c r="V187" i="18"/>
  <c r="AA186" i="18"/>
  <c r="S186" i="18"/>
  <c r="X185" i="18"/>
  <c r="AC184" i="18"/>
  <c r="U184" i="18"/>
  <c r="Z183" i="18"/>
  <c r="AE182" i="18"/>
  <c r="W182" i="18"/>
  <c r="AB181" i="18"/>
  <c r="T181" i="18"/>
  <c r="Y180" i="18"/>
  <c r="AD179" i="18"/>
  <c r="V179" i="18"/>
  <c r="AA178" i="18"/>
  <c r="S178" i="18"/>
  <c r="X177" i="18"/>
  <c r="AC176" i="18"/>
  <c r="U176" i="18"/>
  <c r="Z175" i="18"/>
  <c r="AE174" i="18"/>
  <c r="W174" i="18"/>
  <c r="AB173" i="18"/>
  <c r="T173" i="18"/>
  <c r="Y172" i="18"/>
  <c r="AD171" i="18"/>
  <c r="V171" i="18"/>
  <c r="AA170" i="18"/>
  <c r="S170" i="18"/>
  <c r="X169" i="18"/>
  <c r="AC168" i="18"/>
  <c r="U168" i="18"/>
  <c r="Z167" i="18"/>
  <c r="AE166" i="18"/>
  <c r="W166" i="18"/>
  <c r="AB157" i="18"/>
  <c r="T157" i="18"/>
  <c r="Y156" i="18"/>
  <c r="AD155" i="18"/>
  <c r="V155" i="18"/>
  <c r="AA154" i="18"/>
  <c r="S154" i="18"/>
  <c r="X153" i="18"/>
  <c r="AC152" i="18"/>
  <c r="U152" i="18"/>
  <c r="Z151" i="18"/>
  <c r="AE150" i="18"/>
  <c r="W150" i="18"/>
  <c r="AB149" i="18"/>
  <c r="T149" i="18"/>
  <c r="Y148" i="18"/>
  <c r="AD147" i="18"/>
  <c r="V147" i="18"/>
  <c r="AD146" i="18"/>
  <c r="Z146" i="18"/>
  <c r="V146" i="18"/>
  <c r="AE145" i="18"/>
  <c r="AA145" i="18"/>
  <c r="W145" i="18"/>
  <c r="S145" i="18"/>
  <c r="AB144" i="18"/>
  <c r="X144" i="18"/>
  <c r="T144" i="18"/>
  <c r="AC143" i="18"/>
  <c r="Y143" i="18"/>
  <c r="U143" i="18"/>
  <c r="AD142" i="18"/>
  <c r="Z142" i="18"/>
  <c r="V142" i="18"/>
  <c r="AE141" i="18"/>
  <c r="AA141" i="18"/>
  <c r="W141" i="18"/>
  <c r="S141" i="18"/>
  <c r="AB140" i="18"/>
  <c r="X140" i="18"/>
  <c r="T140" i="18"/>
  <c r="AC139" i="18"/>
  <c r="Y139" i="18"/>
  <c r="U139" i="18"/>
  <c r="AD138" i="18"/>
  <c r="Z138" i="18"/>
  <c r="V138" i="18"/>
  <c r="AE137" i="18"/>
  <c r="AA137" i="18"/>
  <c r="W137" i="18"/>
  <c r="S137" i="18"/>
  <c r="AB136" i="18"/>
  <c r="X136" i="18"/>
  <c r="T136" i="18"/>
  <c r="AC135" i="18"/>
  <c r="Y135" i="18"/>
  <c r="U135" i="18"/>
  <c r="AD134" i="18"/>
  <c r="Z134" i="18"/>
  <c r="V134" i="18"/>
  <c r="AE133" i="18"/>
  <c r="AA133" i="18"/>
  <c r="W133" i="18"/>
  <c r="S133" i="18"/>
  <c r="AB132" i="18"/>
  <c r="X132" i="18"/>
  <c r="T132" i="18"/>
  <c r="AC131" i="18"/>
  <c r="Y131" i="18"/>
  <c r="U131" i="18"/>
  <c r="AD130" i="18"/>
  <c r="Z130" i="18"/>
  <c r="V130" i="18"/>
  <c r="AE129" i="18"/>
  <c r="AA129" i="18"/>
  <c r="W129" i="18"/>
  <c r="S129" i="18"/>
  <c r="AB128" i="18"/>
  <c r="X128" i="18"/>
  <c r="T128" i="18"/>
  <c r="AC127" i="18"/>
  <c r="Y127" i="18"/>
  <c r="U127" i="18"/>
  <c r="AD126" i="18"/>
  <c r="Z126" i="18"/>
  <c r="V126" i="18"/>
  <c r="AE125" i="18"/>
  <c r="AA125" i="18"/>
  <c r="W125" i="18"/>
  <c r="S125" i="18"/>
  <c r="AB124" i="18"/>
  <c r="X124" i="18"/>
  <c r="T124" i="18"/>
  <c r="AC123" i="18"/>
  <c r="Y123" i="18"/>
  <c r="U123" i="18"/>
  <c r="AD122" i="18"/>
  <c r="Z122" i="18"/>
  <c r="V122" i="18"/>
  <c r="AE121" i="18"/>
  <c r="AA121" i="18"/>
  <c r="W121" i="18"/>
  <c r="S121" i="18"/>
  <c r="R186" i="18"/>
  <c r="C186" i="18" s="1"/>
  <c r="P144" i="18"/>
  <c r="B144" i="18" s="1"/>
  <c r="Q101" i="18"/>
  <c r="Q77" i="18"/>
  <c r="R66" i="18"/>
  <c r="C66" i="18" s="1"/>
  <c r="P56" i="18"/>
  <c r="B56" i="18" s="1"/>
  <c r="Q45" i="18"/>
  <c r="R34" i="18"/>
  <c r="C34" i="18" s="1"/>
  <c r="P23" i="18"/>
  <c r="B23" i="18" s="1"/>
  <c r="Q12" i="18"/>
  <c r="V194" i="18"/>
  <c r="Z192" i="18"/>
  <c r="AE191" i="18"/>
  <c r="W191" i="18"/>
  <c r="AB190" i="18"/>
  <c r="T190" i="18"/>
  <c r="Y189" i="18"/>
  <c r="AD188" i="18"/>
  <c r="V188" i="18"/>
  <c r="AA187" i="18"/>
  <c r="S187" i="18"/>
  <c r="X186" i="18"/>
  <c r="AC185" i="18"/>
  <c r="U185" i="18"/>
  <c r="Z184" i="18"/>
  <c r="AE183" i="18"/>
  <c r="W183" i="18"/>
  <c r="AB182" i="18"/>
  <c r="T182" i="18"/>
  <c r="Y181" i="18"/>
  <c r="AD180" i="18"/>
  <c r="V180" i="18"/>
  <c r="AA179" i="18"/>
  <c r="S179" i="18"/>
  <c r="X178" i="18"/>
  <c r="AC177" i="18"/>
  <c r="U177" i="18"/>
  <c r="Z176" i="18"/>
  <c r="AE175" i="18"/>
  <c r="W175" i="18"/>
  <c r="AB174" i="18"/>
  <c r="T174" i="18"/>
  <c r="Y173" i="18"/>
  <c r="AD172" i="18"/>
  <c r="V172" i="18"/>
  <c r="AA171" i="18"/>
  <c r="S171" i="18"/>
  <c r="X170" i="18"/>
  <c r="AC169" i="18"/>
  <c r="U169" i="18"/>
  <c r="Z168" i="18"/>
  <c r="AE167" i="18"/>
  <c r="W167" i="18"/>
  <c r="AB166" i="18"/>
  <c r="T166" i="18"/>
  <c r="Y157" i="18"/>
  <c r="AD156" i="18"/>
  <c r="V156" i="18"/>
  <c r="AA155" i="18"/>
  <c r="S155" i="18"/>
  <c r="X154" i="18"/>
  <c r="AC153" i="18"/>
  <c r="U153" i="18"/>
  <c r="Z152" i="18"/>
  <c r="AE151" i="18"/>
  <c r="W151" i="18"/>
  <c r="AB150" i="18"/>
  <c r="T150" i="18"/>
  <c r="Y149" i="18"/>
  <c r="AD148" i="18"/>
  <c r="V148" i="18"/>
  <c r="AA147" i="18"/>
  <c r="T147" i="18"/>
  <c r="AC146" i="18"/>
  <c r="Y146" i="18"/>
  <c r="U146" i="18"/>
  <c r="AD145" i="18"/>
  <c r="Z145" i="18"/>
  <c r="V145" i="18"/>
  <c r="AE144" i="18"/>
  <c r="AA144" i="18"/>
  <c r="W144" i="18"/>
  <c r="S144" i="18"/>
  <c r="AB143" i="18"/>
  <c r="X143" i="18"/>
  <c r="T143" i="18"/>
  <c r="AC142" i="18"/>
  <c r="Y142" i="18"/>
  <c r="U142" i="18"/>
  <c r="AD141" i="18"/>
  <c r="Z141" i="18"/>
  <c r="V141" i="18"/>
  <c r="AE140" i="18"/>
  <c r="AA140" i="18"/>
  <c r="W140" i="18"/>
  <c r="S140" i="18"/>
  <c r="AB139" i="18"/>
  <c r="X139" i="18"/>
  <c r="T139" i="18"/>
  <c r="AC138" i="18"/>
  <c r="Y138" i="18"/>
  <c r="U138" i="18"/>
  <c r="AD137" i="18"/>
  <c r="Z137" i="18"/>
  <c r="V137" i="18"/>
  <c r="AE136" i="18"/>
  <c r="AA136" i="18"/>
  <c r="W136" i="18"/>
  <c r="S136" i="18"/>
  <c r="AB135" i="18"/>
  <c r="X135" i="18"/>
  <c r="T135" i="18"/>
  <c r="AC134" i="18"/>
  <c r="Y134" i="18"/>
  <c r="U134" i="18"/>
  <c r="AD133" i="18"/>
  <c r="Z133" i="18"/>
  <c r="V133" i="18"/>
  <c r="AE132" i="18"/>
  <c r="AA132" i="18"/>
  <c r="W132" i="18"/>
  <c r="S132" i="18"/>
  <c r="AB131" i="18"/>
  <c r="X131" i="18"/>
  <c r="T131" i="18"/>
  <c r="AC130" i="18"/>
  <c r="Y130" i="18"/>
  <c r="U130" i="18"/>
  <c r="AD129" i="18"/>
  <c r="Z129" i="18"/>
  <c r="V129" i="18"/>
  <c r="Q181" i="18"/>
  <c r="R138" i="18"/>
  <c r="C138" i="18" s="1"/>
  <c r="P96" i="18"/>
  <c r="B96" i="18" s="1"/>
  <c r="P76" i="18"/>
  <c r="B76" i="18" s="1"/>
  <c r="Q65" i="18"/>
  <c r="R54" i="18"/>
  <c r="C54" i="18" s="1"/>
  <c r="P44" i="18"/>
  <c r="B44" i="18" s="1"/>
  <c r="Q33" i="18"/>
  <c r="R21" i="18"/>
  <c r="C21" i="18" s="1"/>
  <c r="P11" i="18"/>
  <c r="B11" i="18" s="1"/>
  <c r="AE193" i="18"/>
  <c r="Y192" i="18"/>
  <c r="AD191" i="18"/>
  <c r="V191" i="18"/>
  <c r="AA190" i="18"/>
  <c r="S190" i="18"/>
  <c r="X189" i="18"/>
  <c r="AC188" i="18"/>
  <c r="U188" i="18"/>
  <c r="Z187" i="18"/>
  <c r="AE186" i="18"/>
  <c r="W186" i="18"/>
  <c r="AB185" i="18"/>
  <c r="T185" i="18"/>
  <c r="Y184" i="18"/>
  <c r="AD183" i="18"/>
  <c r="V183" i="18"/>
  <c r="AA182" i="18"/>
  <c r="S182" i="18"/>
  <c r="X181" i="18"/>
  <c r="AC180" i="18"/>
  <c r="U180" i="18"/>
  <c r="Z179" i="18"/>
  <c r="AE178" i="18"/>
  <c r="W178" i="18"/>
  <c r="AB177" i="18"/>
  <c r="T177" i="18"/>
  <c r="Y176" i="18"/>
  <c r="AD175" i="18"/>
  <c r="V175" i="18"/>
  <c r="AA174" i="18"/>
  <c r="S174" i="18"/>
  <c r="X173" i="18"/>
  <c r="AC172" i="18"/>
  <c r="U172" i="18"/>
  <c r="Z171" i="18"/>
  <c r="AE170" i="18"/>
  <c r="W170" i="18"/>
  <c r="AB169" i="18"/>
  <c r="T169" i="18"/>
  <c r="Y168" i="18"/>
  <c r="AD167" i="18"/>
  <c r="V167" i="18"/>
  <c r="AA166" i="18"/>
  <c r="S166" i="18"/>
  <c r="X157" i="18"/>
  <c r="AC156" i="18"/>
  <c r="U156" i="18"/>
  <c r="Z155" i="18"/>
  <c r="AE154" i="18"/>
  <c r="W154" i="18"/>
  <c r="AB153" i="18"/>
  <c r="T153" i="18"/>
  <c r="Y152" i="18"/>
  <c r="AD151" i="18"/>
  <c r="V151" i="18"/>
  <c r="AA150" i="18"/>
  <c r="S150" i="18"/>
  <c r="X149" i="18"/>
  <c r="AC148" i="18"/>
  <c r="U148" i="18"/>
  <c r="Z147" i="18"/>
  <c r="S147" i="18"/>
  <c r="AB146" i="18"/>
  <c r="X146" i="18"/>
  <c r="T146" i="18"/>
  <c r="AC145" i="18"/>
  <c r="Y145" i="18"/>
  <c r="U145" i="18"/>
  <c r="AD144" i="18"/>
  <c r="Z144" i="18"/>
  <c r="V144" i="18"/>
  <c r="AE143" i="18"/>
  <c r="AA143" i="18"/>
  <c r="W143" i="18"/>
  <c r="S143" i="18"/>
  <c r="AB142" i="18"/>
  <c r="X142" i="18"/>
  <c r="T142" i="18"/>
  <c r="AC141" i="18"/>
  <c r="Y141" i="18"/>
  <c r="U141" i="18"/>
  <c r="AD140" i="18"/>
  <c r="Z140" i="18"/>
  <c r="V140" i="18"/>
  <c r="AE139" i="18"/>
  <c r="AA139" i="18"/>
  <c r="W139" i="18"/>
  <c r="S139" i="18"/>
  <c r="AB138" i="18"/>
  <c r="X138" i="18"/>
  <c r="T138" i="18"/>
  <c r="AC137" i="18"/>
  <c r="Y137" i="18"/>
  <c r="U137" i="18"/>
  <c r="AD136" i="18"/>
  <c r="Z136" i="18"/>
  <c r="V136" i="18"/>
  <c r="AE135" i="18"/>
  <c r="AA135" i="18"/>
  <c r="W135" i="18"/>
  <c r="S135" i="18"/>
  <c r="AB134" i="18"/>
  <c r="X134" i="18"/>
  <c r="T134" i="18"/>
  <c r="AC133" i="18"/>
  <c r="Y133" i="18"/>
  <c r="U133" i="18"/>
  <c r="AD132" i="18"/>
  <c r="Z132" i="18"/>
  <c r="V132" i="18"/>
  <c r="AE131" i="18"/>
  <c r="AA131" i="18"/>
  <c r="W131" i="18"/>
  <c r="S131" i="18"/>
  <c r="AB130" i="18"/>
  <c r="X130" i="18"/>
  <c r="T130" i="18"/>
  <c r="AC129" i="18"/>
  <c r="Y129" i="18"/>
  <c r="U129" i="18"/>
  <c r="AD128" i="18"/>
  <c r="Z128" i="18"/>
  <c r="V128" i="18"/>
  <c r="AE127" i="18"/>
  <c r="AA127" i="18"/>
  <c r="W127" i="18"/>
  <c r="S127" i="18"/>
  <c r="AB126" i="18"/>
  <c r="X126" i="18"/>
  <c r="T126" i="18"/>
  <c r="AC125" i="18"/>
  <c r="Y125" i="18"/>
  <c r="U125" i="18"/>
  <c r="AD124" i="18"/>
  <c r="Z124" i="18"/>
  <c r="V124" i="18"/>
  <c r="AE123" i="18"/>
  <c r="AA123" i="18"/>
  <c r="W123" i="18"/>
  <c r="S123" i="18"/>
  <c r="AB122" i="18"/>
  <c r="X122" i="18"/>
  <c r="T122" i="18"/>
  <c r="AC121" i="18"/>
  <c r="Y121" i="18"/>
  <c r="U121" i="18"/>
  <c r="P72" i="18"/>
  <c r="B72" i="18" s="1"/>
  <c r="Q28" i="18"/>
  <c r="V192" i="18"/>
  <c r="AC189" i="18"/>
  <c r="W187" i="18"/>
  <c r="AD184" i="18"/>
  <c r="X182" i="18"/>
  <c r="AE179" i="18"/>
  <c r="Y177" i="18"/>
  <c r="S175" i="18"/>
  <c r="Z172" i="18"/>
  <c r="T170" i="18"/>
  <c r="AA167" i="18"/>
  <c r="AC157" i="18"/>
  <c r="W155" i="18"/>
  <c r="AD152" i="18"/>
  <c r="X150" i="18"/>
  <c r="AE147" i="18"/>
  <c r="W146" i="18"/>
  <c r="T145" i="18"/>
  <c r="AD143" i="18"/>
  <c r="AA142" i="18"/>
  <c r="X141" i="18"/>
  <c r="U140" i="18"/>
  <c r="AE138" i="18"/>
  <c r="AB137" i="18"/>
  <c r="Y136" i="18"/>
  <c r="V135" i="18"/>
  <c r="S134" i="18"/>
  <c r="AC132" i="18"/>
  <c r="Z131" i="18"/>
  <c r="W130" i="18"/>
  <c r="T129" i="18"/>
  <c r="Y128" i="18"/>
  <c r="AD127" i="18"/>
  <c r="V127" i="18"/>
  <c r="AA126" i="18"/>
  <c r="S126" i="18"/>
  <c r="X125" i="18"/>
  <c r="AC124" i="18"/>
  <c r="U124" i="18"/>
  <c r="Z123" i="18"/>
  <c r="AE122" i="18"/>
  <c r="W122" i="18"/>
  <c r="AB121" i="18"/>
  <c r="T121" i="18"/>
  <c r="AB120" i="18"/>
  <c r="X120" i="18"/>
  <c r="T120" i="18"/>
  <c r="AC119" i="18"/>
  <c r="Y119" i="18"/>
  <c r="U119" i="18"/>
  <c r="AD118" i="18"/>
  <c r="Z118" i="18"/>
  <c r="V118" i="18"/>
  <c r="AE117" i="18"/>
  <c r="AA117" i="18"/>
  <c r="W117" i="18"/>
  <c r="S117" i="18"/>
  <c r="AB116" i="18"/>
  <c r="X116" i="18"/>
  <c r="T116" i="18"/>
  <c r="AC115" i="18"/>
  <c r="Y115" i="18"/>
  <c r="U115" i="18"/>
  <c r="AD114" i="18"/>
  <c r="Z114" i="18"/>
  <c r="V114" i="18"/>
  <c r="AE113" i="18"/>
  <c r="AA113" i="18"/>
  <c r="W113" i="18"/>
  <c r="S113" i="18"/>
  <c r="AB112" i="18"/>
  <c r="X112" i="18"/>
  <c r="T112" i="18"/>
  <c r="AC111" i="18"/>
  <c r="Y111" i="18"/>
  <c r="U111" i="18"/>
  <c r="AD110" i="18"/>
  <c r="Z110" i="18"/>
  <c r="V110" i="18"/>
  <c r="AE109" i="18"/>
  <c r="AA109" i="18"/>
  <c r="W109" i="18"/>
  <c r="S109" i="18"/>
  <c r="AB108" i="18"/>
  <c r="X108" i="18"/>
  <c r="T108" i="18"/>
  <c r="AC107" i="18"/>
  <c r="Y107" i="18"/>
  <c r="U107" i="18"/>
  <c r="AD106" i="18"/>
  <c r="Z106" i="18"/>
  <c r="V106" i="18"/>
  <c r="AE105" i="18"/>
  <c r="AA105" i="18"/>
  <c r="W105" i="18"/>
  <c r="S105" i="18"/>
  <c r="AB104" i="18"/>
  <c r="X104" i="18"/>
  <c r="T104" i="18"/>
  <c r="AC103" i="18"/>
  <c r="Y103" i="18"/>
  <c r="U103" i="18"/>
  <c r="AD102" i="18"/>
  <c r="Z102" i="18"/>
  <c r="V102" i="18"/>
  <c r="AE101" i="18"/>
  <c r="AA101" i="18"/>
  <c r="W101" i="18"/>
  <c r="S101" i="18"/>
  <c r="AB100" i="18"/>
  <c r="X100" i="18"/>
  <c r="T100" i="18"/>
  <c r="AC99" i="18"/>
  <c r="Y99" i="18"/>
  <c r="U99" i="18"/>
  <c r="AD98" i="18"/>
  <c r="Z98" i="18"/>
  <c r="V98" i="18"/>
  <c r="AE97" i="18"/>
  <c r="AA97" i="18"/>
  <c r="W97" i="18"/>
  <c r="S97" i="18"/>
  <c r="AB96" i="18"/>
  <c r="X96" i="18"/>
  <c r="T96" i="18"/>
  <c r="AC95" i="18"/>
  <c r="Y95" i="18"/>
  <c r="U95" i="18"/>
  <c r="AD94" i="18"/>
  <c r="Z94" i="18"/>
  <c r="V94" i="18"/>
  <c r="AE93" i="18"/>
  <c r="AA93" i="18"/>
  <c r="W93" i="18"/>
  <c r="S93" i="18"/>
  <c r="AB92" i="18"/>
  <c r="X92" i="18"/>
  <c r="T92" i="18"/>
  <c r="AC91" i="18"/>
  <c r="Y91" i="18"/>
  <c r="U91" i="18"/>
  <c r="AD90" i="18"/>
  <c r="Z90" i="18"/>
  <c r="V90" i="18"/>
  <c r="AE89" i="18"/>
  <c r="AA89" i="18"/>
  <c r="W89" i="18"/>
  <c r="S89" i="18"/>
  <c r="AB88" i="18"/>
  <c r="X88" i="18"/>
  <c r="T88" i="18"/>
  <c r="AC87" i="18"/>
  <c r="Y87" i="18"/>
  <c r="U87" i="18"/>
  <c r="AD86" i="18"/>
  <c r="Z86" i="18"/>
  <c r="V86" i="18"/>
  <c r="AE85" i="18"/>
  <c r="AA85" i="18"/>
  <c r="W85" i="18"/>
  <c r="S85" i="18"/>
  <c r="AB84" i="18"/>
  <c r="X84" i="18"/>
  <c r="T84" i="18"/>
  <c r="AC83" i="18"/>
  <c r="Q61" i="18"/>
  <c r="R17" i="18"/>
  <c r="C17" i="18" s="1"/>
  <c r="AA191" i="18"/>
  <c r="U189" i="18"/>
  <c r="AB186" i="18"/>
  <c r="V184" i="18"/>
  <c r="AC181" i="18"/>
  <c r="W179" i="18"/>
  <c r="AD176" i="18"/>
  <c r="X174" i="18"/>
  <c r="AE171" i="18"/>
  <c r="Y169" i="18"/>
  <c r="S167" i="18"/>
  <c r="U157" i="18"/>
  <c r="AB154" i="18"/>
  <c r="V152" i="18"/>
  <c r="AC149" i="18"/>
  <c r="W147" i="18"/>
  <c r="S146" i="18"/>
  <c r="AC144" i="18"/>
  <c r="Z143" i="18"/>
  <c r="W142" i="18"/>
  <c r="T141" i="18"/>
  <c r="AD139" i="18"/>
  <c r="AA138" i="18"/>
  <c r="X137" i="18"/>
  <c r="U136" i="18"/>
  <c r="AE134" i="18"/>
  <c r="AB133" i="18"/>
  <c r="Y132" i="18"/>
  <c r="V131" i="18"/>
  <c r="S130" i="18"/>
  <c r="AE128" i="18"/>
  <c r="W128" i="18"/>
  <c r="AB127" i="18"/>
  <c r="T127" i="18"/>
  <c r="Y126" i="18"/>
  <c r="AD125" i="18"/>
  <c r="V125" i="18"/>
  <c r="AA124" i="18"/>
  <c r="S124" i="18"/>
  <c r="X123" i="18"/>
  <c r="AC122" i="18"/>
  <c r="U122" i="18"/>
  <c r="Z121" i="18"/>
  <c r="AE120" i="18"/>
  <c r="AA120" i="18"/>
  <c r="W120" i="18"/>
  <c r="S120" i="18"/>
  <c r="AB119" i="18"/>
  <c r="X119" i="18"/>
  <c r="T119" i="18"/>
  <c r="AC118" i="18"/>
  <c r="Y118" i="18"/>
  <c r="U118" i="18"/>
  <c r="AD117" i="18"/>
  <c r="Z117" i="18"/>
  <c r="V117" i="18"/>
  <c r="AE116" i="18"/>
  <c r="AA116" i="18"/>
  <c r="W116" i="18"/>
  <c r="S116" i="18"/>
  <c r="AB115" i="18"/>
  <c r="X115" i="18"/>
  <c r="T115" i="18"/>
  <c r="AC114" i="18"/>
  <c r="Y114" i="18"/>
  <c r="U114" i="18"/>
  <c r="AD113" i="18"/>
  <c r="Z113" i="18"/>
  <c r="V113" i="18"/>
  <c r="AE112" i="18"/>
  <c r="AA112" i="18"/>
  <c r="W112" i="18"/>
  <c r="S112" i="18"/>
  <c r="AB111" i="18"/>
  <c r="X111" i="18"/>
  <c r="T111" i="18"/>
  <c r="AC110" i="18"/>
  <c r="Y110" i="18"/>
  <c r="U110" i="18"/>
  <c r="AD109" i="18"/>
  <c r="Z109" i="18"/>
  <c r="V109" i="18"/>
  <c r="AE108" i="18"/>
  <c r="AA108" i="18"/>
  <c r="W108" i="18"/>
  <c r="S108" i="18"/>
  <c r="AB107" i="18"/>
  <c r="X107" i="18"/>
  <c r="T107" i="18"/>
  <c r="AC106" i="18"/>
  <c r="Y106" i="18"/>
  <c r="U106" i="18"/>
  <c r="AD105" i="18"/>
  <c r="Z105" i="18"/>
  <c r="V105" i="18"/>
  <c r="AE104" i="18"/>
  <c r="AA104" i="18"/>
  <c r="W104" i="18"/>
  <c r="S104" i="18"/>
  <c r="AB103" i="18"/>
  <c r="X103" i="18"/>
  <c r="T103" i="18"/>
  <c r="AC102" i="18"/>
  <c r="Y102" i="18"/>
  <c r="U102" i="18"/>
  <c r="AD101" i="18"/>
  <c r="Z101" i="18"/>
  <c r="V101" i="18"/>
  <c r="AE100" i="18"/>
  <c r="AA100" i="18"/>
  <c r="W100" i="18"/>
  <c r="S100" i="18"/>
  <c r="AB99" i="18"/>
  <c r="X99" i="18"/>
  <c r="T99" i="18"/>
  <c r="AC98" i="18"/>
  <c r="Y98" i="18"/>
  <c r="U98" i="18"/>
  <c r="AD97" i="18"/>
  <c r="Z97" i="18"/>
  <c r="V97" i="18"/>
  <c r="AE96" i="18"/>
  <c r="AA96" i="18"/>
  <c r="W96" i="18"/>
  <c r="S96" i="18"/>
  <c r="AB95" i="18"/>
  <c r="X95" i="18"/>
  <c r="T95" i="18"/>
  <c r="AC94" i="18"/>
  <c r="Y94" i="18"/>
  <c r="U94" i="18"/>
  <c r="AD93" i="18"/>
  <c r="Z93" i="18"/>
  <c r="V93" i="18"/>
  <c r="AE92" i="18"/>
  <c r="AA92" i="18"/>
  <c r="W92" i="18"/>
  <c r="S92" i="18"/>
  <c r="AB91" i="18"/>
  <c r="X91" i="18"/>
  <c r="T91" i="18"/>
  <c r="AC90" i="18"/>
  <c r="Y90" i="18"/>
  <c r="U90" i="18"/>
  <c r="AD89" i="18"/>
  <c r="Z89" i="18"/>
  <c r="V89" i="18"/>
  <c r="AE88" i="18"/>
  <c r="AA88" i="18"/>
  <c r="W88" i="18"/>
  <c r="S88" i="18"/>
  <c r="AB87" i="18"/>
  <c r="X87" i="18"/>
  <c r="R122" i="18"/>
  <c r="C122" i="18" s="1"/>
  <c r="R50" i="18"/>
  <c r="C50" i="18" s="1"/>
  <c r="Y63" i="18"/>
  <c r="S191" i="18"/>
  <c r="Z188" i="18"/>
  <c r="T186" i="18"/>
  <c r="AA183" i="18"/>
  <c r="U181" i="18"/>
  <c r="AB178" i="18"/>
  <c r="V176" i="18"/>
  <c r="AC173" i="18"/>
  <c r="W171" i="18"/>
  <c r="AD168" i="18"/>
  <c r="X166" i="18"/>
  <c r="Z156" i="18"/>
  <c r="T154" i="18"/>
  <c r="AA151" i="18"/>
  <c r="U149" i="18"/>
  <c r="AE146" i="18"/>
  <c r="AB145" i="18"/>
  <c r="Y144" i="18"/>
  <c r="V143" i="18"/>
  <c r="S142" i="18"/>
  <c r="AC140" i="18"/>
  <c r="Z139" i="18"/>
  <c r="W138" i="18"/>
  <c r="T137" i="18"/>
  <c r="AD135" i="18"/>
  <c r="AA134" i="18"/>
  <c r="X133" i="18"/>
  <c r="U132" i="18"/>
  <c r="AE130" i="18"/>
  <c r="AB129" i="18"/>
  <c r="AC128" i="18"/>
  <c r="U128" i="18"/>
  <c r="Z127" i="18"/>
  <c r="AE126" i="18"/>
  <c r="W126" i="18"/>
  <c r="AB125" i="18"/>
  <c r="T125" i="18"/>
  <c r="Y124" i="18"/>
  <c r="AD123" i="18"/>
  <c r="V123" i="18"/>
  <c r="AA122" i="18"/>
  <c r="S122" i="18"/>
  <c r="X121" i="18"/>
  <c r="AD120" i="18"/>
  <c r="Z120" i="18"/>
  <c r="V120" i="18"/>
  <c r="AE119" i="18"/>
  <c r="AA119" i="18"/>
  <c r="W119" i="18"/>
  <c r="S119" i="18"/>
  <c r="AB118" i="18"/>
  <c r="X118" i="18"/>
  <c r="T118" i="18"/>
  <c r="AC117" i="18"/>
  <c r="Y117" i="18"/>
  <c r="U117" i="18"/>
  <c r="AD116" i="18"/>
  <c r="Z116" i="18"/>
  <c r="V116" i="18"/>
  <c r="AE115" i="18"/>
  <c r="AA115" i="18"/>
  <c r="W115" i="18"/>
  <c r="S115" i="18"/>
  <c r="AB114" i="18"/>
  <c r="X114" i="18"/>
  <c r="T114" i="18"/>
  <c r="AC113" i="18"/>
  <c r="Y113" i="18"/>
  <c r="U113" i="18"/>
  <c r="AD112" i="18"/>
  <c r="Z112" i="18"/>
  <c r="V112" i="18"/>
  <c r="AE111" i="18"/>
  <c r="AA111" i="18"/>
  <c r="W111" i="18"/>
  <c r="S111" i="18"/>
  <c r="AB110" i="18"/>
  <c r="X110" i="18"/>
  <c r="T110" i="18"/>
  <c r="AC109" i="18"/>
  <c r="Y109" i="18"/>
  <c r="U109" i="18"/>
  <c r="AD108" i="18"/>
  <c r="Z108" i="18"/>
  <c r="V108" i="18"/>
  <c r="AE107" i="18"/>
  <c r="AA107" i="18"/>
  <c r="W107" i="18"/>
  <c r="S107" i="18"/>
  <c r="AB106" i="18"/>
  <c r="X106" i="18"/>
  <c r="T106" i="18"/>
  <c r="AC105" i="18"/>
  <c r="Y105" i="18"/>
  <c r="U105" i="18"/>
  <c r="AD104" i="18"/>
  <c r="Z104" i="18"/>
  <c r="V104" i="18"/>
  <c r="AE103" i="18"/>
  <c r="AA103" i="18"/>
  <c r="W103" i="18"/>
  <c r="S103" i="18"/>
  <c r="AB102" i="18"/>
  <c r="X102" i="18"/>
  <c r="T102" i="18"/>
  <c r="AC101" i="18"/>
  <c r="Y101" i="18"/>
  <c r="U101" i="18"/>
  <c r="AD100" i="18"/>
  <c r="Z100" i="18"/>
  <c r="V100" i="18"/>
  <c r="AE99" i="18"/>
  <c r="AA99" i="18"/>
  <c r="W99" i="18"/>
  <c r="S99" i="18"/>
  <c r="AB98" i="18"/>
  <c r="X98" i="18"/>
  <c r="T98" i="18"/>
  <c r="AC97" i="18"/>
  <c r="Y97" i="18"/>
  <c r="U97" i="18"/>
  <c r="AD96" i="18"/>
  <c r="Z96" i="18"/>
  <c r="V96" i="18"/>
  <c r="AE95" i="18"/>
  <c r="AA95" i="18"/>
  <c r="W95" i="18"/>
  <c r="S95" i="18"/>
  <c r="AB94" i="18"/>
  <c r="X94" i="18"/>
  <c r="T94" i="18"/>
  <c r="AC93" i="18"/>
  <c r="Y93" i="18"/>
  <c r="U93" i="18"/>
  <c r="AD92" i="18"/>
  <c r="Z92" i="18"/>
  <c r="V92" i="18"/>
  <c r="AE91" i="18"/>
  <c r="AA91" i="18"/>
  <c r="W91" i="18"/>
  <c r="S91" i="18"/>
  <c r="AB90" i="18"/>
  <c r="X90" i="18"/>
  <c r="T90" i="18"/>
  <c r="AC89" i="18"/>
  <c r="Y89" i="18"/>
  <c r="U89" i="18"/>
  <c r="AD88" i="18"/>
  <c r="Z88" i="18"/>
  <c r="V88" i="18"/>
  <c r="AE87" i="18"/>
  <c r="AA87" i="18"/>
  <c r="W87" i="18"/>
  <c r="S87" i="18"/>
  <c r="AB86" i="18"/>
  <c r="X86" i="18"/>
  <c r="T86" i="18"/>
  <c r="AC85" i="18"/>
  <c r="Y85" i="18"/>
  <c r="U85" i="18"/>
  <c r="AD84" i="18"/>
  <c r="Z84" i="18"/>
  <c r="V84" i="18"/>
  <c r="AE83" i="18"/>
  <c r="AA83" i="18"/>
  <c r="X190" i="18"/>
  <c r="Z180" i="18"/>
  <c r="AB170" i="18"/>
  <c r="S151" i="18"/>
  <c r="U144" i="18"/>
  <c r="V139" i="18"/>
  <c r="W134" i="18"/>
  <c r="X129" i="18"/>
  <c r="AC126" i="18"/>
  <c r="W124" i="18"/>
  <c r="AD121" i="18"/>
  <c r="U120" i="18"/>
  <c r="AE118" i="18"/>
  <c r="AB117" i="18"/>
  <c r="Y116" i="18"/>
  <c r="V115" i="18"/>
  <c r="S114" i="18"/>
  <c r="AC112" i="18"/>
  <c r="Z111" i="18"/>
  <c r="W110" i="18"/>
  <c r="T109" i="18"/>
  <c r="AD107" i="18"/>
  <c r="AA106" i="18"/>
  <c r="X105" i="18"/>
  <c r="U104" i="18"/>
  <c r="AE102" i="18"/>
  <c r="AB101" i="18"/>
  <c r="Y100" i="18"/>
  <c r="V99" i="18"/>
  <c r="S98" i="18"/>
  <c r="AC96" i="18"/>
  <c r="Z95" i="18"/>
  <c r="W94" i="18"/>
  <c r="T93" i="18"/>
  <c r="AD91" i="18"/>
  <c r="AA90" i="18"/>
  <c r="X89" i="18"/>
  <c r="U88" i="18"/>
  <c r="T87" i="18"/>
  <c r="Y86" i="18"/>
  <c r="AD85" i="18"/>
  <c r="V85" i="18"/>
  <c r="AA84" i="18"/>
  <c r="S84" i="18"/>
  <c r="Y83" i="18"/>
  <c r="U83" i="18"/>
  <c r="AD82" i="18"/>
  <c r="Z82" i="18"/>
  <c r="V82" i="18"/>
  <c r="AE81" i="18"/>
  <c r="AA81" i="18"/>
  <c r="W81" i="18"/>
  <c r="S81" i="18"/>
  <c r="AB80" i="18"/>
  <c r="X80" i="18"/>
  <c r="T80" i="18"/>
  <c r="AC79" i="18"/>
  <c r="Y79" i="18"/>
  <c r="U79" i="18"/>
  <c r="AD78" i="18"/>
  <c r="Z78" i="18"/>
  <c r="V78" i="18"/>
  <c r="AE77" i="18"/>
  <c r="AA77" i="18"/>
  <c r="W77" i="18"/>
  <c r="S77" i="18"/>
  <c r="AB76" i="18"/>
  <c r="X76" i="18"/>
  <c r="T76" i="18"/>
  <c r="AC75" i="18"/>
  <c r="Y75" i="18"/>
  <c r="U75" i="18"/>
  <c r="AD74" i="18"/>
  <c r="Z74" i="18"/>
  <c r="V74" i="18"/>
  <c r="AE73" i="18"/>
  <c r="AA73" i="18"/>
  <c r="W73" i="18"/>
  <c r="S73" i="18"/>
  <c r="AB72" i="18"/>
  <c r="X72" i="18"/>
  <c r="T72" i="18"/>
  <c r="AC71" i="18"/>
  <c r="Y71" i="18"/>
  <c r="U71" i="18"/>
  <c r="AD70" i="18"/>
  <c r="Z70" i="18"/>
  <c r="V70" i="18"/>
  <c r="AE69" i="18"/>
  <c r="AA69" i="18"/>
  <c r="W69" i="18"/>
  <c r="S69" i="18"/>
  <c r="AB68" i="18"/>
  <c r="X68" i="18"/>
  <c r="T68" i="18"/>
  <c r="AC67" i="18"/>
  <c r="Y67" i="18"/>
  <c r="U67" i="18"/>
  <c r="AD66" i="18"/>
  <c r="Z66" i="18"/>
  <c r="V66" i="18"/>
  <c r="AE65" i="18"/>
  <c r="AA65" i="18"/>
  <c r="W65" i="18"/>
  <c r="S65" i="18"/>
  <c r="AB64" i="18"/>
  <c r="X64" i="18"/>
  <c r="T64" i="18"/>
  <c r="AC62" i="18"/>
  <c r="Y62" i="18"/>
  <c r="U62" i="18"/>
  <c r="AD61" i="18"/>
  <c r="Z61" i="18"/>
  <c r="V61" i="18"/>
  <c r="AE60" i="18"/>
  <c r="AA60" i="18"/>
  <c r="W60" i="18"/>
  <c r="S60" i="18"/>
  <c r="AB59" i="18"/>
  <c r="X59" i="18"/>
  <c r="T59" i="18"/>
  <c r="AC58" i="18"/>
  <c r="Y58" i="18"/>
  <c r="U58" i="18"/>
  <c r="AD57" i="18"/>
  <c r="Z57" i="18"/>
  <c r="V57" i="18"/>
  <c r="AE56" i="18"/>
  <c r="AA56" i="18"/>
  <c r="W56" i="18"/>
  <c r="S56" i="18"/>
  <c r="AB55" i="18"/>
  <c r="X55" i="18"/>
  <c r="T55" i="18"/>
  <c r="AC54" i="18"/>
  <c r="Y54" i="18"/>
  <c r="U54" i="18"/>
  <c r="AD53" i="18"/>
  <c r="Z53" i="18"/>
  <c r="V53" i="18"/>
  <c r="AE52" i="18"/>
  <c r="AA52" i="18"/>
  <c r="W52" i="18"/>
  <c r="S52" i="18"/>
  <c r="AB51" i="18"/>
  <c r="X51" i="18"/>
  <c r="T51" i="18"/>
  <c r="AC50" i="18"/>
  <c r="Y50" i="18"/>
  <c r="U50" i="18"/>
  <c r="AD49" i="18"/>
  <c r="Z49" i="18"/>
  <c r="V49" i="18"/>
  <c r="AE48" i="18"/>
  <c r="AA48" i="18"/>
  <c r="W48" i="18"/>
  <c r="S48" i="18"/>
  <c r="AB47" i="18"/>
  <c r="X47" i="18"/>
  <c r="T47" i="18"/>
  <c r="AC46" i="18"/>
  <c r="Y46" i="18"/>
  <c r="U46" i="18"/>
  <c r="AD45" i="18"/>
  <c r="Z45" i="18"/>
  <c r="V45" i="18"/>
  <c r="AE44" i="18"/>
  <c r="AA44" i="18"/>
  <c r="W44" i="18"/>
  <c r="S44" i="18"/>
  <c r="AB43" i="18"/>
  <c r="X43" i="18"/>
  <c r="T43" i="18"/>
  <c r="AC42" i="18"/>
  <c r="Y42" i="18"/>
  <c r="U42" i="18"/>
  <c r="AD41" i="18"/>
  <c r="Z41" i="18"/>
  <c r="V41" i="18"/>
  <c r="AE40" i="18"/>
  <c r="AA40" i="18"/>
  <c r="W40" i="18"/>
  <c r="S40" i="18"/>
  <c r="AB39" i="18"/>
  <c r="X39" i="18"/>
  <c r="T39" i="18"/>
  <c r="AC38" i="18"/>
  <c r="Y38" i="18"/>
  <c r="U38" i="18"/>
  <c r="AD37" i="18"/>
  <c r="Z37" i="18"/>
  <c r="V37" i="18"/>
  <c r="AE36" i="18"/>
  <c r="AA36" i="18"/>
  <c r="W36" i="18"/>
  <c r="S36" i="18"/>
  <c r="AB35" i="18"/>
  <c r="X35" i="18"/>
  <c r="T35" i="18"/>
  <c r="AC34" i="18"/>
  <c r="Y34" i="18"/>
  <c r="U34" i="18"/>
  <c r="AD33" i="18"/>
  <c r="Z33" i="18"/>
  <c r="V33" i="18"/>
  <c r="AE31" i="18"/>
  <c r="AA31" i="18"/>
  <c r="W31" i="18"/>
  <c r="S31" i="18"/>
  <c r="AB30" i="18"/>
  <c r="X30" i="18"/>
  <c r="T30" i="18"/>
  <c r="AC29" i="18"/>
  <c r="Y29" i="18"/>
  <c r="U29" i="18"/>
  <c r="AD28" i="18"/>
  <c r="Z28" i="18"/>
  <c r="V28" i="18"/>
  <c r="AE27" i="18"/>
  <c r="AA27" i="18"/>
  <c r="W27" i="18"/>
  <c r="S27" i="18"/>
  <c r="AB26" i="18"/>
  <c r="X26" i="18"/>
  <c r="T26" i="18"/>
  <c r="AC25" i="18"/>
  <c r="Y25" i="18"/>
  <c r="U25" i="18"/>
  <c r="AD24" i="18"/>
  <c r="Z24" i="18"/>
  <c r="V24" i="18"/>
  <c r="AE23" i="18"/>
  <c r="AA23" i="18"/>
  <c r="W23" i="18"/>
  <c r="S23" i="18"/>
  <c r="AB22" i="18"/>
  <c r="X22" i="18"/>
  <c r="T22" i="18"/>
  <c r="AC21" i="18"/>
  <c r="Y21" i="18"/>
  <c r="U21" i="18"/>
  <c r="AD20" i="18"/>
  <c r="Z20" i="18"/>
  <c r="V20" i="18"/>
  <c r="AE19" i="18"/>
  <c r="AA19" i="18"/>
  <c r="W19" i="18"/>
  <c r="S19" i="18"/>
  <c r="AB18" i="18"/>
  <c r="X18" i="18"/>
  <c r="T18" i="18"/>
  <c r="AC17" i="18"/>
  <c r="Y17" i="18"/>
  <c r="U17" i="18"/>
  <c r="AD16" i="18"/>
  <c r="Z16" i="18"/>
  <c r="V16" i="18"/>
  <c r="AE15" i="18"/>
  <c r="AA15" i="18"/>
  <c r="W15" i="18"/>
  <c r="S15" i="18"/>
  <c r="AB14" i="18"/>
  <c r="X14" i="18"/>
  <c r="T14" i="18"/>
  <c r="AC13" i="18"/>
  <c r="Y13" i="18"/>
  <c r="U13" i="18"/>
  <c r="AD12" i="18"/>
  <c r="Z12" i="18"/>
  <c r="V12" i="18"/>
  <c r="AE11" i="18"/>
  <c r="AA11" i="18"/>
  <c r="W11" i="18"/>
  <c r="S11" i="18"/>
  <c r="AB10" i="18"/>
  <c r="X10" i="18"/>
  <c r="T10" i="18"/>
  <c r="AC9" i="18"/>
  <c r="V9" i="18"/>
  <c r="Z9" i="18"/>
  <c r="S193" i="18"/>
  <c r="Y153" i="18"/>
  <c r="Z135" i="18"/>
  <c r="X127" i="18"/>
  <c r="Y120" i="18"/>
  <c r="AC116" i="18"/>
  <c r="T113" i="18"/>
  <c r="AD111" i="18"/>
  <c r="AE106" i="18"/>
  <c r="V103" i="18"/>
  <c r="Z99" i="18"/>
  <c r="T97" i="18"/>
  <c r="X93" i="18"/>
  <c r="AE90" i="18"/>
  <c r="V87" i="18"/>
  <c r="X85" i="18"/>
  <c r="Z83" i="18"/>
  <c r="AA82" i="18"/>
  <c r="S82" i="18"/>
  <c r="T81" i="18"/>
  <c r="U80" i="18"/>
  <c r="Z79" i="18"/>
  <c r="AA78" i="18"/>
  <c r="AB77" i="18"/>
  <c r="T77" i="18"/>
  <c r="U76" i="18"/>
  <c r="Z75" i="18"/>
  <c r="AA74" i="18"/>
  <c r="AB73" i="18"/>
  <c r="Y72" i="18"/>
  <c r="Z71" i="18"/>
  <c r="W70" i="18"/>
  <c r="X69" i="18"/>
  <c r="Y68" i="18"/>
  <c r="Z67" i="18"/>
  <c r="AA66" i="18"/>
  <c r="X65" i="18"/>
  <c r="Y64" i="18"/>
  <c r="AD62" i="18"/>
  <c r="AE61" i="18"/>
  <c r="W61" i="18"/>
  <c r="T60" i="18"/>
  <c r="U59" i="18"/>
  <c r="V58" i="18"/>
  <c r="W57" i="18"/>
  <c r="AB56" i="18"/>
  <c r="Y55" i="18"/>
  <c r="Z54" i="18"/>
  <c r="AA53" i="18"/>
  <c r="AB52" i="18"/>
  <c r="AC51" i="18"/>
  <c r="AD50" i="18"/>
  <c r="AE49" i="18"/>
  <c r="S49" i="18"/>
  <c r="X48" i="18"/>
  <c r="Y47" i="18"/>
  <c r="R82" i="18"/>
  <c r="C82" i="18" s="1"/>
  <c r="AE187" i="18"/>
  <c r="T178" i="18"/>
  <c r="V168" i="18"/>
  <c r="Z148" i="18"/>
  <c r="AE142" i="18"/>
  <c r="S138" i="18"/>
  <c r="T133" i="18"/>
  <c r="AA128" i="18"/>
  <c r="U126" i="18"/>
  <c r="AB123" i="18"/>
  <c r="V121" i="18"/>
  <c r="AD119" i="18"/>
  <c r="AA118" i="18"/>
  <c r="X117" i="18"/>
  <c r="U116" i="18"/>
  <c r="AE114" i="18"/>
  <c r="AB113" i="18"/>
  <c r="Y112" i="18"/>
  <c r="V111" i="18"/>
  <c r="S110" i="18"/>
  <c r="AC108" i="18"/>
  <c r="Z107" i="18"/>
  <c r="W106" i="18"/>
  <c r="T105" i="18"/>
  <c r="AD103" i="18"/>
  <c r="AA102" i="18"/>
  <c r="X101" i="18"/>
  <c r="U100" i="18"/>
  <c r="AE98" i="18"/>
  <c r="AB97" i="18"/>
  <c r="Y96" i="18"/>
  <c r="V95" i="18"/>
  <c r="S94" i="18"/>
  <c r="AC92" i="18"/>
  <c r="Z91" i="18"/>
  <c r="W90" i="18"/>
  <c r="T89" i="18"/>
  <c r="AD87" i="18"/>
  <c r="AE86" i="18"/>
  <c r="W86" i="18"/>
  <c r="AB85" i="18"/>
  <c r="T85" i="18"/>
  <c r="Y84" i="18"/>
  <c r="AD83" i="18"/>
  <c r="X83" i="18"/>
  <c r="T83" i="18"/>
  <c r="AC82" i="18"/>
  <c r="Y82" i="18"/>
  <c r="U82" i="18"/>
  <c r="AD81" i="18"/>
  <c r="Z81" i="18"/>
  <c r="V81" i="18"/>
  <c r="AE80" i="18"/>
  <c r="AA80" i="18"/>
  <c r="W80" i="18"/>
  <c r="S80" i="18"/>
  <c r="AB79" i="18"/>
  <c r="X79" i="18"/>
  <c r="T79" i="18"/>
  <c r="AC78" i="18"/>
  <c r="Y78" i="18"/>
  <c r="U78" i="18"/>
  <c r="AD77" i="18"/>
  <c r="Z77" i="18"/>
  <c r="V77" i="18"/>
  <c r="AE76" i="18"/>
  <c r="AA76" i="18"/>
  <c r="W76" i="18"/>
  <c r="S76" i="18"/>
  <c r="AB75" i="18"/>
  <c r="X75" i="18"/>
  <c r="T75" i="18"/>
  <c r="AC74" i="18"/>
  <c r="Y74" i="18"/>
  <c r="U74" i="18"/>
  <c r="AD73" i="18"/>
  <c r="Z73" i="18"/>
  <c r="V73" i="18"/>
  <c r="AE72" i="18"/>
  <c r="AA72" i="18"/>
  <c r="W72" i="18"/>
  <c r="S72" i="18"/>
  <c r="AB71" i="18"/>
  <c r="X71" i="18"/>
  <c r="T71" i="18"/>
  <c r="AC70" i="18"/>
  <c r="Y70" i="18"/>
  <c r="U70" i="18"/>
  <c r="AD69" i="18"/>
  <c r="Z69" i="18"/>
  <c r="V69" i="18"/>
  <c r="AE68" i="18"/>
  <c r="AA68" i="18"/>
  <c r="W68" i="18"/>
  <c r="S68" i="18"/>
  <c r="AB67" i="18"/>
  <c r="X67" i="18"/>
  <c r="T67" i="18"/>
  <c r="AC66" i="18"/>
  <c r="Y66" i="18"/>
  <c r="U66" i="18"/>
  <c r="AD65" i="18"/>
  <c r="Z65" i="18"/>
  <c r="V65" i="18"/>
  <c r="AE64" i="18"/>
  <c r="AA64" i="18"/>
  <c r="W64" i="18"/>
  <c r="S64" i="18"/>
  <c r="AB62" i="18"/>
  <c r="X62" i="18"/>
  <c r="T62" i="18"/>
  <c r="AC61" i="18"/>
  <c r="Y61" i="18"/>
  <c r="U61" i="18"/>
  <c r="AD60" i="18"/>
  <c r="Z60" i="18"/>
  <c r="V60" i="18"/>
  <c r="AE59" i="18"/>
  <c r="AA59" i="18"/>
  <c r="W59" i="18"/>
  <c r="S59" i="18"/>
  <c r="AB58" i="18"/>
  <c r="X58" i="18"/>
  <c r="T58" i="18"/>
  <c r="AC57" i="18"/>
  <c r="Y57" i="18"/>
  <c r="U57" i="18"/>
  <c r="AD56" i="18"/>
  <c r="Z56" i="18"/>
  <c r="V56" i="18"/>
  <c r="AE55" i="18"/>
  <c r="AA55" i="18"/>
  <c r="W55" i="18"/>
  <c r="S55" i="18"/>
  <c r="AB54" i="18"/>
  <c r="X54" i="18"/>
  <c r="T54" i="18"/>
  <c r="AC53" i="18"/>
  <c r="Y53" i="18"/>
  <c r="U53" i="18"/>
  <c r="AD52" i="18"/>
  <c r="Z52" i="18"/>
  <c r="V52" i="18"/>
  <c r="AE51" i="18"/>
  <c r="AA51" i="18"/>
  <c r="W51" i="18"/>
  <c r="S51" i="18"/>
  <c r="AB50" i="18"/>
  <c r="X50" i="18"/>
  <c r="T50" i="18"/>
  <c r="AC49" i="18"/>
  <c r="Y49" i="18"/>
  <c r="U49" i="18"/>
  <c r="AD48" i="18"/>
  <c r="Z48" i="18"/>
  <c r="V48" i="18"/>
  <c r="AE47" i="18"/>
  <c r="AA47" i="18"/>
  <c r="W47" i="18"/>
  <c r="S47" i="18"/>
  <c r="AB46" i="18"/>
  <c r="X46" i="18"/>
  <c r="T46" i="18"/>
  <c r="AC45" i="18"/>
  <c r="Y45" i="18"/>
  <c r="U45" i="18"/>
  <c r="AD44" i="18"/>
  <c r="Z44" i="18"/>
  <c r="V44" i="18"/>
  <c r="AE43" i="18"/>
  <c r="AA43" i="18"/>
  <c r="W43" i="18"/>
  <c r="S43" i="18"/>
  <c r="AB42" i="18"/>
  <c r="X42" i="18"/>
  <c r="T42" i="18"/>
  <c r="AC41" i="18"/>
  <c r="Y41" i="18"/>
  <c r="U41" i="18"/>
  <c r="AD40" i="18"/>
  <c r="Z40" i="18"/>
  <c r="V40" i="18"/>
  <c r="AE39" i="18"/>
  <c r="AA39" i="18"/>
  <c r="W39" i="18"/>
  <c r="S39" i="18"/>
  <c r="AB38" i="18"/>
  <c r="X38" i="18"/>
  <c r="T38" i="18"/>
  <c r="AC37" i="18"/>
  <c r="Y37" i="18"/>
  <c r="U37" i="18"/>
  <c r="AD36" i="18"/>
  <c r="Z36" i="18"/>
  <c r="V36" i="18"/>
  <c r="AE35" i="18"/>
  <c r="AA35" i="18"/>
  <c r="W35" i="18"/>
  <c r="S35" i="18"/>
  <c r="AB34" i="18"/>
  <c r="X34" i="18"/>
  <c r="T34" i="18"/>
  <c r="AC33" i="18"/>
  <c r="Y33" i="18"/>
  <c r="U33" i="18"/>
  <c r="AD31" i="18"/>
  <c r="Z31" i="18"/>
  <c r="V31" i="18"/>
  <c r="AE30" i="18"/>
  <c r="AA30" i="18"/>
  <c r="W30" i="18"/>
  <c r="S30" i="18"/>
  <c r="AB29" i="18"/>
  <c r="X29" i="18"/>
  <c r="T29" i="18"/>
  <c r="AC28" i="18"/>
  <c r="Y28" i="18"/>
  <c r="U28" i="18"/>
  <c r="AD27" i="18"/>
  <c r="Z27" i="18"/>
  <c r="V27" i="18"/>
  <c r="AE26" i="18"/>
  <c r="AA26" i="18"/>
  <c r="W26" i="18"/>
  <c r="S26" i="18"/>
  <c r="AB25" i="18"/>
  <c r="X25" i="18"/>
  <c r="T25" i="18"/>
  <c r="AC24" i="18"/>
  <c r="Y24" i="18"/>
  <c r="U24" i="18"/>
  <c r="AD23" i="18"/>
  <c r="Z23" i="18"/>
  <c r="V23" i="18"/>
  <c r="AE22" i="18"/>
  <c r="AA22" i="18"/>
  <c r="W22" i="18"/>
  <c r="S22" i="18"/>
  <c r="AB21" i="18"/>
  <c r="X21" i="18"/>
  <c r="T21" i="18"/>
  <c r="AC20" i="18"/>
  <c r="Y20" i="18"/>
  <c r="U20" i="18"/>
  <c r="AD19" i="18"/>
  <c r="Z19" i="18"/>
  <c r="V19" i="18"/>
  <c r="AE18" i="18"/>
  <c r="AA18" i="18"/>
  <c r="W18" i="18"/>
  <c r="S18" i="18"/>
  <c r="AB17" i="18"/>
  <c r="X17" i="18"/>
  <c r="T17" i="18"/>
  <c r="AC16" i="18"/>
  <c r="Y16" i="18"/>
  <c r="U16" i="18"/>
  <c r="AD15" i="18"/>
  <c r="Z15" i="18"/>
  <c r="V15" i="18"/>
  <c r="AE14" i="18"/>
  <c r="AA14" i="18"/>
  <c r="W14" i="18"/>
  <c r="S14" i="18"/>
  <c r="AB13" i="18"/>
  <c r="X13" i="18"/>
  <c r="T13" i="18"/>
  <c r="AC12" i="18"/>
  <c r="Y12" i="18"/>
  <c r="U12" i="18"/>
  <c r="AD11" i="18"/>
  <c r="Z11" i="18"/>
  <c r="V11" i="18"/>
  <c r="AE10" i="18"/>
  <c r="AA10" i="18"/>
  <c r="W10" i="18"/>
  <c r="S10" i="18"/>
  <c r="AB9" i="18"/>
  <c r="W9" i="18"/>
  <c r="S9" i="18"/>
  <c r="S183" i="18"/>
  <c r="Y140" i="18"/>
  <c r="AE124" i="18"/>
  <c r="V119" i="18"/>
  <c r="Z115" i="18"/>
  <c r="X109" i="18"/>
  <c r="AB105" i="18"/>
  <c r="S102" i="18"/>
  <c r="W98" i="18"/>
  <c r="AA94" i="18"/>
  <c r="AB89" i="18"/>
  <c r="AA86" i="18"/>
  <c r="AC84" i="18"/>
  <c r="AE82" i="18"/>
  <c r="AB81" i="18"/>
  <c r="AC80" i="18"/>
  <c r="AD79" i="18"/>
  <c r="AE78" i="18"/>
  <c r="S78" i="18"/>
  <c r="Y76" i="18"/>
  <c r="V75" i="18"/>
  <c r="S74" i="18"/>
  <c r="T73" i="18"/>
  <c r="AD71" i="18"/>
  <c r="S70" i="18"/>
  <c r="AC68" i="18"/>
  <c r="AD67" i="18"/>
  <c r="AE66" i="18"/>
  <c r="S66" i="18"/>
  <c r="T65" i="18"/>
  <c r="Z62" i="18"/>
  <c r="AA61" i="18"/>
  <c r="AB60" i="18"/>
  <c r="AC59" i="18"/>
  <c r="AD58" i="18"/>
  <c r="AE57" i="18"/>
  <c r="S57" i="18"/>
  <c r="T56" i="18"/>
  <c r="U55" i="18"/>
  <c r="V54" i="18"/>
  <c r="S53" i="18"/>
  <c r="T52" i="18"/>
  <c r="U51" i="18"/>
  <c r="Z50" i="18"/>
  <c r="AA49" i="18"/>
  <c r="AB48" i="18"/>
  <c r="AC47" i="18"/>
  <c r="AD46" i="18"/>
  <c r="P40" i="18"/>
  <c r="B40" i="18" s="1"/>
  <c r="Y185" i="18"/>
  <c r="AA175" i="18"/>
  <c r="AE155" i="18"/>
  <c r="AA146" i="18"/>
  <c r="AB141" i="18"/>
  <c r="AC136" i="18"/>
  <c r="AD131" i="18"/>
  <c r="S128" i="18"/>
  <c r="Z125" i="18"/>
  <c r="T123" i="18"/>
  <c r="AC120" i="18"/>
  <c r="Z119" i="18"/>
  <c r="W118" i="18"/>
  <c r="T117" i="18"/>
  <c r="AD115" i="18"/>
  <c r="AA114" i="18"/>
  <c r="X113" i="18"/>
  <c r="U112" i="18"/>
  <c r="AE110" i="18"/>
  <c r="AB109" i="18"/>
  <c r="Y108" i="18"/>
  <c r="V107" i="18"/>
  <c r="S106" i="18"/>
  <c r="AC104" i="18"/>
  <c r="Z103" i="18"/>
  <c r="W102" i="18"/>
  <c r="T101" i="18"/>
  <c r="AD99" i="18"/>
  <c r="AA98" i="18"/>
  <c r="X97" i="18"/>
  <c r="U96" i="18"/>
  <c r="AE94" i="18"/>
  <c r="AB93" i="18"/>
  <c r="Y92" i="18"/>
  <c r="V91" i="18"/>
  <c r="S90" i="18"/>
  <c r="AC88" i="18"/>
  <c r="Z87" i="18"/>
  <c r="AC86" i="18"/>
  <c r="U86" i="18"/>
  <c r="Z85" i="18"/>
  <c r="AE84" i="18"/>
  <c r="W84" i="18"/>
  <c r="AB83" i="18"/>
  <c r="W83" i="18"/>
  <c r="S83" i="18"/>
  <c r="AB82" i="18"/>
  <c r="X82" i="18"/>
  <c r="T82" i="18"/>
  <c r="AC81" i="18"/>
  <c r="Y81" i="18"/>
  <c r="U81" i="18"/>
  <c r="AD80" i="18"/>
  <c r="Z80" i="18"/>
  <c r="V80" i="18"/>
  <c r="AE79" i="18"/>
  <c r="AA79" i="18"/>
  <c r="W79" i="18"/>
  <c r="S79" i="18"/>
  <c r="AB78" i="18"/>
  <c r="X78" i="18"/>
  <c r="T78" i="18"/>
  <c r="AC77" i="18"/>
  <c r="Y77" i="18"/>
  <c r="U77" i="18"/>
  <c r="AD76" i="18"/>
  <c r="Z76" i="18"/>
  <c r="V76" i="18"/>
  <c r="AE75" i="18"/>
  <c r="AA75" i="18"/>
  <c r="W75" i="18"/>
  <c r="S75" i="18"/>
  <c r="AB74" i="18"/>
  <c r="X74" i="18"/>
  <c r="T74" i="18"/>
  <c r="AC73" i="18"/>
  <c r="Y73" i="18"/>
  <c r="U73" i="18"/>
  <c r="AD72" i="18"/>
  <c r="Z72" i="18"/>
  <c r="V72" i="18"/>
  <c r="AE71" i="18"/>
  <c r="AA71" i="18"/>
  <c r="W71" i="18"/>
  <c r="S71" i="18"/>
  <c r="AB70" i="18"/>
  <c r="X70" i="18"/>
  <c r="T70" i="18"/>
  <c r="AC69" i="18"/>
  <c r="Y69" i="18"/>
  <c r="U69" i="18"/>
  <c r="AD68" i="18"/>
  <c r="Z68" i="18"/>
  <c r="V68" i="18"/>
  <c r="AE67" i="18"/>
  <c r="AA67" i="18"/>
  <c r="W67" i="18"/>
  <c r="S67" i="18"/>
  <c r="AB66" i="18"/>
  <c r="X66" i="18"/>
  <c r="T66" i="18"/>
  <c r="AC65" i="18"/>
  <c r="Y65" i="18"/>
  <c r="U65" i="18"/>
  <c r="AD64" i="18"/>
  <c r="Z64" i="18"/>
  <c r="V64" i="18"/>
  <c r="AE62" i="18"/>
  <c r="AA62" i="18"/>
  <c r="W62" i="18"/>
  <c r="S62" i="18"/>
  <c r="AB61" i="18"/>
  <c r="X61" i="18"/>
  <c r="T61" i="18"/>
  <c r="AC60" i="18"/>
  <c r="Y60" i="18"/>
  <c r="U60" i="18"/>
  <c r="AD59" i="18"/>
  <c r="Z59" i="18"/>
  <c r="V59" i="18"/>
  <c r="AE58" i="18"/>
  <c r="AA58" i="18"/>
  <c r="W58" i="18"/>
  <c r="S58" i="18"/>
  <c r="AB57" i="18"/>
  <c r="X57" i="18"/>
  <c r="T57" i="18"/>
  <c r="AC56" i="18"/>
  <c r="Y56" i="18"/>
  <c r="U56" i="18"/>
  <c r="AD55" i="18"/>
  <c r="Z55" i="18"/>
  <c r="V55" i="18"/>
  <c r="AE54" i="18"/>
  <c r="AA54" i="18"/>
  <c r="W54" i="18"/>
  <c r="S54" i="18"/>
  <c r="AB53" i="18"/>
  <c r="X53" i="18"/>
  <c r="T53" i="18"/>
  <c r="AC52" i="18"/>
  <c r="Y52" i="18"/>
  <c r="U52" i="18"/>
  <c r="AD51" i="18"/>
  <c r="Z51" i="18"/>
  <c r="V51" i="18"/>
  <c r="AE50" i="18"/>
  <c r="AA50" i="18"/>
  <c r="W50" i="18"/>
  <c r="S50" i="18"/>
  <c r="AB49" i="18"/>
  <c r="X49" i="18"/>
  <c r="T49" i="18"/>
  <c r="AC48" i="18"/>
  <c r="Y48" i="18"/>
  <c r="U48" i="18"/>
  <c r="AD47" i="18"/>
  <c r="Z47" i="18"/>
  <c r="V47" i="18"/>
  <c r="AE46" i="18"/>
  <c r="AA46" i="18"/>
  <c r="W46" i="18"/>
  <c r="S46" i="18"/>
  <c r="AB45" i="18"/>
  <c r="X45" i="18"/>
  <c r="T45" i="18"/>
  <c r="AC44" i="18"/>
  <c r="Y44" i="18"/>
  <c r="U44" i="18"/>
  <c r="AD43" i="18"/>
  <c r="Z43" i="18"/>
  <c r="V43" i="18"/>
  <c r="AE42" i="18"/>
  <c r="AA42" i="18"/>
  <c r="W42" i="18"/>
  <c r="S42" i="18"/>
  <c r="AB41" i="18"/>
  <c r="X41" i="18"/>
  <c r="T41" i="18"/>
  <c r="AC40" i="18"/>
  <c r="Y40" i="18"/>
  <c r="U40" i="18"/>
  <c r="AD39" i="18"/>
  <c r="Z39" i="18"/>
  <c r="V39" i="18"/>
  <c r="AE38" i="18"/>
  <c r="AA38" i="18"/>
  <c r="W38" i="18"/>
  <c r="S38" i="18"/>
  <c r="AB37" i="18"/>
  <c r="X37" i="18"/>
  <c r="T37" i="18"/>
  <c r="AC36" i="18"/>
  <c r="Y36" i="18"/>
  <c r="U36" i="18"/>
  <c r="AD35" i="18"/>
  <c r="Z35" i="18"/>
  <c r="V35" i="18"/>
  <c r="AE34" i="18"/>
  <c r="AA34" i="18"/>
  <c r="W34" i="18"/>
  <c r="S34" i="18"/>
  <c r="AB33" i="18"/>
  <c r="X33" i="18"/>
  <c r="T33" i="18"/>
  <c r="AC31" i="18"/>
  <c r="Y31" i="18"/>
  <c r="U31" i="18"/>
  <c r="AD30" i="18"/>
  <c r="Z30" i="18"/>
  <c r="V30" i="18"/>
  <c r="AE29" i="18"/>
  <c r="AA29" i="18"/>
  <c r="W29" i="18"/>
  <c r="S29" i="18"/>
  <c r="AB28" i="18"/>
  <c r="X28" i="18"/>
  <c r="T28" i="18"/>
  <c r="AC27" i="18"/>
  <c r="Y27" i="18"/>
  <c r="U27" i="18"/>
  <c r="AD26" i="18"/>
  <c r="Z26" i="18"/>
  <c r="V26" i="18"/>
  <c r="AE25" i="18"/>
  <c r="AA25" i="18"/>
  <c r="W25" i="18"/>
  <c r="S25" i="18"/>
  <c r="AB24" i="18"/>
  <c r="X24" i="18"/>
  <c r="T24" i="18"/>
  <c r="AC23" i="18"/>
  <c r="Y23" i="18"/>
  <c r="U23" i="18"/>
  <c r="AD22" i="18"/>
  <c r="Z22" i="18"/>
  <c r="V22" i="18"/>
  <c r="AE21" i="18"/>
  <c r="AA21" i="18"/>
  <c r="W21" i="18"/>
  <c r="S21" i="18"/>
  <c r="AB20" i="18"/>
  <c r="X20" i="18"/>
  <c r="T20" i="18"/>
  <c r="AC19" i="18"/>
  <c r="Y19" i="18"/>
  <c r="U19" i="18"/>
  <c r="AD18" i="18"/>
  <c r="Z18" i="18"/>
  <c r="V18" i="18"/>
  <c r="AE17" i="18"/>
  <c r="AA17" i="18"/>
  <c r="W17" i="18"/>
  <c r="S17" i="18"/>
  <c r="AB16" i="18"/>
  <c r="X16" i="18"/>
  <c r="T16" i="18"/>
  <c r="AC15" i="18"/>
  <c r="Y15" i="18"/>
  <c r="U15" i="18"/>
  <c r="AD14" i="18"/>
  <c r="Z14" i="18"/>
  <c r="V14" i="18"/>
  <c r="AE13" i="18"/>
  <c r="AA13" i="18"/>
  <c r="W13" i="18"/>
  <c r="S13" i="18"/>
  <c r="AB12" i="18"/>
  <c r="X12" i="18"/>
  <c r="T12" i="18"/>
  <c r="AC11" i="18"/>
  <c r="Y11" i="18"/>
  <c r="U11" i="18"/>
  <c r="AD10" i="18"/>
  <c r="Z10" i="18"/>
  <c r="V10" i="18"/>
  <c r="AE9" i="18"/>
  <c r="T9" i="18"/>
  <c r="X9" i="18"/>
  <c r="U173" i="18"/>
  <c r="X145" i="18"/>
  <c r="AA130" i="18"/>
  <c r="Y122" i="18"/>
  <c r="S118" i="18"/>
  <c r="W114" i="18"/>
  <c r="AA110" i="18"/>
  <c r="U108" i="18"/>
  <c r="Y104" i="18"/>
  <c r="AC100" i="18"/>
  <c r="AD95" i="18"/>
  <c r="U92" i="18"/>
  <c r="Y88" i="18"/>
  <c r="S86" i="18"/>
  <c r="U84" i="18"/>
  <c r="V83" i="18"/>
  <c r="W82" i="18"/>
  <c r="X81" i="18"/>
  <c r="Y80" i="18"/>
  <c r="V79" i="18"/>
  <c r="W78" i="18"/>
  <c r="X77" i="18"/>
  <c r="AC76" i="18"/>
  <c r="AD75" i="18"/>
  <c r="AE74" i="18"/>
  <c r="W74" i="18"/>
  <c r="X73" i="18"/>
  <c r="AC72" i="18"/>
  <c r="U72" i="18"/>
  <c r="V71" i="18"/>
  <c r="AE70" i="18"/>
  <c r="AA70" i="18"/>
  <c r="AB69" i="18"/>
  <c r="T69" i="18"/>
  <c r="U68" i="18"/>
  <c r="V67" i="18"/>
  <c r="W66" i="18"/>
  <c r="AB65" i="18"/>
  <c r="AC64" i="18"/>
  <c r="U64" i="18"/>
  <c r="V62" i="18"/>
  <c r="S61" i="18"/>
  <c r="X60" i="18"/>
  <c r="Y59" i="18"/>
  <c r="Z58" i="18"/>
  <c r="AA57" i="18"/>
  <c r="X56" i="18"/>
  <c r="AC55" i="18"/>
  <c r="AD54" i="18"/>
  <c r="AE53" i="18"/>
  <c r="W53" i="18"/>
  <c r="X52" i="18"/>
  <c r="Y51" i="18"/>
  <c r="V50" i="18"/>
  <c r="W49" i="18"/>
  <c r="T48" i="18"/>
  <c r="U47" i="18"/>
  <c r="V46" i="18"/>
  <c r="Z46" i="18"/>
  <c r="S45" i="18"/>
  <c r="AC43" i="18"/>
  <c r="Z42" i="18"/>
  <c r="W41" i="18"/>
  <c r="T40" i="18"/>
  <c r="AD38" i="18"/>
  <c r="AA37" i="18"/>
  <c r="X36" i="18"/>
  <c r="U35" i="18"/>
  <c r="AE33" i="18"/>
  <c r="AB31" i="18"/>
  <c r="Y30" i="18"/>
  <c r="V29" i="18"/>
  <c r="S28" i="18"/>
  <c r="AC26" i="18"/>
  <c r="Z25" i="18"/>
  <c r="W24" i="18"/>
  <c r="T23" i="18"/>
  <c r="AD21" i="18"/>
  <c r="AA20" i="18"/>
  <c r="X19" i="18"/>
  <c r="U18" i="18"/>
  <c r="AE16" i="18"/>
  <c r="AB15" i="18"/>
  <c r="Y14" i="18"/>
  <c r="V13" i="18"/>
  <c r="S12" i="18"/>
  <c r="AC10" i="18"/>
  <c r="U9" i="18"/>
  <c r="AE45" i="18"/>
  <c r="AB44" i="18"/>
  <c r="Y43" i="18"/>
  <c r="V42" i="18"/>
  <c r="S41" i="18"/>
  <c r="AC39" i="18"/>
  <c r="Z38" i="18"/>
  <c r="W37" i="18"/>
  <c r="T36" i="18"/>
  <c r="AD34" i="18"/>
  <c r="AA33" i="18"/>
  <c r="X31" i="18"/>
  <c r="U30" i="18"/>
  <c r="AE28" i="18"/>
  <c r="AB27" i="18"/>
  <c r="Y26" i="18"/>
  <c r="V25" i="18"/>
  <c r="S24" i="18"/>
  <c r="AC22" i="18"/>
  <c r="Z21" i="18"/>
  <c r="W20" i="18"/>
  <c r="T19" i="18"/>
  <c r="AD17" i="18"/>
  <c r="AA16" i="18"/>
  <c r="X15" i="18"/>
  <c r="U14" i="18"/>
  <c r="AE12" i="18"/>
  <c r="AB11" i="18"/>
  <c r="Y10" i="18"/>
  <c r="Y9" i="18"/>
  <c r="AA45" i="18"/>
  <c r="X44" i="18"/>
  <c r="U43" i="18"/>
  <c r="AE41" i="18"/>
  <c r="AB40" i="18"/>
  <c r="Y39" i="18"/>
  <c r="V38" i="18"/>
  <c r="S37" i="18"/>
  <c r="AC35" i="18"/>
  <c r="Z34" i="18"/>
  <c r="W33" i="18"/>
  <c r="T31" i="18"/>
  <c r="AD29" i="18"/>
  <c r="AA28" i="18"/>
  <c r="X27" i="18"/>
  <c r="U26" i="18"/>
  <c r="AE24" i="18"/>
  <c r="AB23" i="18"/>
  <c r="Y22" i="18"/>
  <c r="V21" i="18"/>
  <c r="S20" i="18"/>
  <c r="AC18" i="18"/>
  <c r="Z17" i="18"/>
  <c r="W16" i="18"/>
  <c r="T15" i="18"/>
  <c r="AD13" i="18"/>
  <c r="AA12" i="18"/>
  <c r="X11" i="18"/>
  <c r="U10" i="18"/>
  <c r="W45" i="18"/>
  <c r="T44" i="18"/>
  <c r="AD42" i="18"/>
  <c r="AA41" i="18"/>
  <c r="X40" i="18"/>
  <c r="U39" i="18"/>
  <c r="AE37" i="18"/>
  <c r="AB36" i="18"/>
  <c r="Y35" i="18"/>
  <c r="V34" i="18"/>
  <c r="S33" i="18"/>
  <c r="AC30" i="18"/>
  <c r="Z29" i="18"/>
  <c r="W28" i="18"/>
  <c r="T27" i="18"/>
  <c r="AD25" i="18"/>
  <c r="AA24" i="18"/>
  <c r="X23" i="18"/>
  <c r="U22" i="18"/>
  <c r="AE20" i="18"/>
  <c r="AB19" i="18"/>
  <c r="Y18" i="18"/>
  <c r="V17" i="18"/>
  <c r="S16" i="18"/>
  <c r="AC14" i="18"/>
  <c r="Z13" i="18"/>
  <c r="W12" i="18"/>
  <c r="T11" i="18"/>
  <c r="AD9" i="18"/>
  <c r="L87" i="18"/>
  <c r="L92" i="18"/>
  <c r="L76" i="18"/>
  <c r="CJ183" i="18"/>
  <c r="X29" i="4"/>
  <c r="X34" i="4" s="1"/>
  <c r="U31" i="4"/>
  <c r="U34" i="4"/>
  <c r="U32" i="4"/>
  <c r="H112" i="20"/>
  <c r="F191" i="14"/>
  <c r="L77" i="18"/>
  <c r="L94" i="18"/>
  <c r="L95" i="18"/>
  <c r="G192" i="15"/>
  <c r="H192" i="15" s="1"/>
  <c r="J99" i="20" s="1"/>
  <c r="G204" i="15"/>
  <c r="H204" i="15" s="1"/>
  <c r="J111" i="20" s="1"/>
  <c r="H107" i="20"/>
  <c r="G200" i="15"/>
  <c r="H200" i="15" s="1"/>
  <c r="J107" i="20" s="1"/>
  <c r="H109" i="20"/>
  <c r="G202" i="15"/>
  <c r="H202" i="15" s="1"/>
  <c r="J109" i="20" s="1"/>
  <c r="H111" i="20"/>
  <c r="G201" i="15"/>
  <c r="H201" i="15" s="1"/>
  <c r="J108" i="20" s="1"/>
  <c r="G196" i="15"/>
  <c r="H196" i="15" s="1"/>
  <c r="J103" i="20" s="1"/>
  <c r="G198" i="15"/>
  <c r="H198" i="15" s="1"/>
  <c r="J105" i="20" s="1"/>
  <c r="J57" i="2"/>
  <c r="N57" i="2" s="1"/>
  <c r="F30" i="6" s="1"/>
  <c r="R30" i="6" s="1"/>
  <c r="G203" i="15"/>
  <c r="H203" i="15" s="1"/>
  <c r="J110" i="20" s="1"/>
  <c r="G191" i="15"/>
  <c r="H191" i="15" s="1"/>
  <c r="J98" i="20" s="1"/>
  <c r="G193" i="15"/>
  <c r="H193" i="15" s="1"/>
  <c r="J100" i="20" s="1"/>
  <c r="G195" i="15"/>
  <c r="H195" i="15" s="1"/>
  <c r="J102" i="20" s="1"/>
  <c r="G197" i="15"/>
  <c r="H197" i="15" s="1"/>
  <c r="J104" i="20" s="1"/>
  <c r="G199" i="15"/>
  <c r="H199" i="15" s="1"/>
  <c r="J106" i="20" s="1"/>
  <c r="H101" i="20"/>
  <c r="H97" i="20"/>
  <c r="G190" i="15"/>
  <c r="H190" i="15" s="1"/>
  <c r="J97" i="20" s="1"/>
  <c r="J288" i="9"/>
  <c r="J280" i="9" s="1"/>
  <c r="L12" i="18"/>
  <c r="F221" i="14"/>
  <c r="F217" i="14"/>
  <c r="F220" i="14"/>
  <c r="F219" i="14"/>
  <c r="V193" i="5"/>
  <c r="F218" i="14"/>
  <c r="K127" i="18"/>
  <c r="F243" i="8"/>
  <c r="F107" i="14"/>
  <c r="F105" i="14"/>
  <c r="F104" i="14"/>
  <c r="F106" i="14"/>
  <c r="F108" i="14"/>
  <c r="F86" i="14"/>
  <c r="F85" i="14"/>
  <c r="V180" i="5"/>
  <c r="F88" i="14"/>
  <c r="F84" i="14"/>
  <c r="F87" i="14"/>
  <c r="F35" i="14"/>
  <c r="V176" i="5"/>
  <c r="F33" i="14"/>
  <c r="F32" i="14"/>
  <c r="F34" i="14"/>
  <c r="F36" i="14"/>
  <c r="F39" i="10"/>
  <c r="F35" i="10"/>
  <c r="F37" i="10"/>
  <c r="F36" i="10"/>
  <c r="V116" i="5"/>
  <c r="F38" i="10"/>
  <c r="F88" i="10"/>
  <c r="V118" i="5"/>
  <c r="F57" i="10"/>
  <c r="F61" i="10"/>
  <c r="F89" i="10"/>
  <c r="F59" i="10"/>
  <c r="F91" i="10"/>
  <c r="F60" i="10"/>
  <c r="F92" i="10"/>
  <c r="J95" i="15"/>
  <c r="J89" i="3"/>
  <c r="E81" i="17"/>
  <c r="D63" i="16"/>
  <c r="I96" i="15"/>
  <c r="N206" i="15" s="1"/>
  <c r="R207" i="15" s="1"/>
  <c r="E82" i="17"/>
  <c r="E86" i="17"/>
  <c r="F9" i="10"/>
  <c r="F12" i="10"/>
  <c r="F8" i="10"/>
  <c r="F11" i="10"/>
  <c r="F10" i="10"/>
  <c r="V113" i="5"/>
  <c r="Y113" i="5" s="1"/>
  <c r="AC113" i="5" s="1"/>
  <c r="M118" i="20"/>
  <c r="N118" i="20" s="1"/>
  <c r="G29" i="11"/>
  <c r="G31" i="11"/>
  <c r="G33" i="11"/>
  <c r="G30" i="11"/>
  <c r="O11" i="6"/>
  <c r="F347" i="8"/>
  <c r="O12" i="6"/>
  <c r="H28" i="6"/>
  <c r="K122" i="8"/>
  <c r="F173" i="8"/>
  <c r="H100" i="20"/>
  <c r="H102" i="20"/>
  <c r="K95" i="8"/>
  <c r="H108" i="20"/>
  <c r="S8" i="6"/>
  <c r="B191" i="18"/>
  <c r="B189" i="18"/>
  <c r="B175" i="18"/>
  <c r="B177" i="18"/>
  <c r="B145" i="18"/>
  <c r="B121" i="18"/>
  <c r="B108" i="18"/>
  <c r="B106" i="18"/>
  <c r="B54" i="18"/>
  <c r="B21" i="18"/>
  <c r="K72" i="8"/>
  <c r="F228" i="8"/>
  <c r="J49" i="2"/>
  <c r="K86" i="8"/>
  <c r="K357" i="8"/>
  <c r="K109" i="8"/>
  <c r="M153" i="8"/>
  <c r="F356" i="8"/>
  <c r="H106" i="20"/>
  <c r="I68" i="6"/>
  <c r="K74" i="8"/>
  <c r="K88" i="8"/>
  <c r="K102" i="8"/>
  <c r="K111" i="8"/>
  <c r="K125" i="8"/>
  <c r="M146" i="8"/>
  <c r="M155" i="8"/>
  <c r="F176" i="8"/>
  <c r="F231" i="8"/>
  <c r="F245" i="8"/>
  <c r="F349" i="8"/>
  <c r="F134" i="11"/>
  <c r="O10" i="6"/>
  <c r="H15" i="6"/>
  <c r="O15" i="6"/>
  <c r="I29" i="6"/>
  <c r="I52" i="6"/>
  <c r="J71" i="6"/>
  <c r="I105" i="6"/>
  <c r="K77" i="8"/>
  <c r="K90" i="8"/>
  <c r="K104" i="8"/>
  <c r="K118" i="8"/>
  <c r="K127" i="8"/>
  <c r="M148" i="8"/>
  <c r="F178" i="8"/>
  <c r="F224" i="8"/>
  <c r="F233" i="8"/>
  <c r="F248" i="8"/>
  <c r="F351" i="8"/>
  <c r="O14" i="6"/>
  <c r="I15" i="6"/>
  <c r="O17" i="6"/>
  <c r="H32" i="6"/>
  <c r="J55" i="6"/>
  <c r="H81" i="6"/>
  <c r="O81" i="6" s="1"/>
  <c r="I109" i="6"/>
  <c r="H49" i="6"/>
  <c r="O49" i="6" s="1"/>
  <c r="J87" i="6"/>
  <c r="K70" i="8"/>
  <c r="K79" i="8"/>
  <c r="K93" i="8"/>
  <c r="K106" i="8"/>
  <c r="K120" i="8"/>
  <c r="M151" i="8"/>
  <c r="F171" i="8"/>
  <c r="F180" i="8"/>
  <c r="F226" i="8"/>
  <c r="F241" i="8"/>
  <c r="F250" i="8"/>
  <c r="F354" i="8"/>
  <c r="O13" i="6"/>
  <c r="O16" i="6"/>
  <c r="J26" i="6"/>
  <c r="J39" i="6"/>
  <c r="H65" i="6"/>
  <c r="O65" i="6" s="1"/>
  <c r="I84" i="6"/>
  <c r="F136" i="11"/>
  <c r="F71" i="8"/>
  <c r="F73" i="8"/>
  <c r="F76" i="8"/>
  <c r="F78" i="8"/>
  <c r="F80" i="8"/>
  <c r="F87" i="8"/>
  <c r="F89" i="8"/>
  <c r="F92" i="8"/>
  <c r="F94" i="8"/>
  <c r="F96" i="8"/>
  <c r="F103" i="8"/>
  <c r="F105" i="8"/>
  <c r="F108" i="8"/>
  <c r="F110" i="8"/>
  <c r="F112" i="8"/>
  <c r="F119" i="8"/>
  <c r="F121" i="8"/>
  <c r="F124" i="8"/>
  <c r="F126" i="8"/>
  <c r="F128" i="8"/>
  <c r="F145" i="8"/>
  <c r="F147" i="8"/>
  <c r="F149" i="8"/>
  <c r="F152" i="8"/>
  <c r="F154" i="8"/>
  <c r="K171" i="8"/>
  <c r="K173" i="8"/>
  <c r="K176" i="8"/>
  <c r="K178" i="8"/>
  <c r="K180" i="8"/>
  <c r="K224" i="8"/>
  <c r="K226" i="8"/>
  <c r="K228" i="8"/>
  <c r="K231" i="8"/>
  <c r="K233" i="8"/>
  <c r="K241" i="8"/>
  <c r="K243" i="8"/>
  <c r="K245" i="8"/>
  <c r="K248" i="8"/>
  <c r="K250" i="8"/>
  <c r="K347" i="8"/>
  <c r="K349" i="8"/>
  <c r="K351" i="8"/>
  <c r="K354" i="8"/>
  <c r="K356" i="8"/>
  <c r="H27" i="6"/>
  <c r="I28" i="6"/>
  <c r="J29" i="6"/>
  <c r="I33" i="6"/>
  <c r="I40" i="6"/>
  <c r="J43" i="6"/>
  <c r="H53" i="6"/>
  <c r="I56" i="6"/>
  <c r="J59" i="6"/>
  <c r="H69" i="6"/>
  <c r="I72" i="6"/>
  <c r="J75" i="6"/>
  <c r="H85" i="6"/>
  <c r="I88" i="6"/>
  <c r="J91" i="6"/>
  <c r="I106" i="6"/>
  <c r="I110" i="6"/>
  <c r="F132" i="11"/>
  <c r="K71" i="8"/>
  <c r="K73" i="8"/>
  <c r="K76" i="8"/>
  <c r="K78" i="8"/>
  <c r="K80" i="8"/>
  <c r="K87" i="8"/>
  <c r="K89" i="8"/>
  <c r="K92" i="8"/>
  <c r="K94" i="8"/>
  <c r="K96" i="8"/>
  <c r="K103" i="8"/>
  <c r="K105" i="8"/>
  <c r="K108" i="8"/>
  <c r="K110" i="8"/>
  <c r="K112" i="8"/>
  <c r="K119" i="8"/>
  <c r="K121" i="8"/>
  <c r="K124" i="8"/>
  <c r="K126" i="8"/>
  <c r="K128" i="8"/>
  <c r="M145" i="8"/>
  <c r="M147" i="8"/>
  <c r="M149" i="8"/>
  <c r="M152" i="8"/>
  <c r="M154" i="8"/>
  <c r="F170" i="8"/>
  <c r="F172" i="8"/>
  <c r="F174" i="8"/>
  <c r="F177" i="8"/>
  <c r="F179" i="8"/>
  <c r="F225" i="8"/>
  <c r="F227" i="8"/>
  <c r="F230" i="8"/>
  <c r="F232" i="8"/>
  <c r="F234" i="8"/>
  <c r="F242" i="8"/>
  <c r="F244" i="8"/>
  <c r="F247" i="8"/>
  <c r="F249" i="8"/>
  <c r="F251" i="8"/>
  <c r="F348" i="8"/>
  <c r="F350" i="8"/>
  <c r="F353" i="8"/>
  <c r="F355" i="8"/>
  <c r="F357" i="8"/>
  <c r="F133" i="11"/>
  <c r="F135" i="11"/>
  <c r="O18" i="6"/>
  <c r="H26" i="6"/>
  <c r="I27" i="6"/>
  <c r="J28" i="6"/>
  <c r="I30" i="6"/>
  <c r="J34" i="6"/>
  <c r="H41" i="6"/>
  <c r="I44" i="6"/>
  <c r="J47" i="6"/>
  <c r="H57" i="6"/>
  <c r="I60" i="6"/>
  <c r="J63" i="6"/>
  <c r="H73" i="6"/>
  <c r="I76" i="6"/>
  <c r="J79" i="6"/>
  <c r="H89" i="6"/>
  <c r="I103" i="6"/>
  <c r="I107" i="6"/>
  <c r="F70" i="8"/>
  <c r="F72" i="8"/>
  <c r="F74" i="8"/>
  <c r="F77" i="8"/>
  <c r="F79" i="8"/>
  <c r="F86" i="8"/>
  <c r="F88" i="8"/>
  <c r="F90" i="8"/>
  <c r="F93" i="8"/>
  <c r="F95" i="8"/>
  <c r="F102" i="8"/>
  <c r="F104" i="8"/>
  <c r="F106" i="8"/>
  <c r="F109" i="8"/>
  <c r="F111" i="8"/>
  <c r="F118" i="8"/>
  <c r="F120" i="8"/>
  <c r="F122" i="8"/>
  <c r="F125" i="8"/>
  <c r="F127" i="8"/>
  <c r="F146" i="8"/>
  <c r="F148" i="8"/>
  <c r="F151" i="8"/>
  <c r="F153" i="8"/>
  <c r="F155" i="8"/>
  <c r="K170" i="8"/>
  <c r="K172" i="8"/>
  <c r="K174" i="8"/>
  <c r="K177" i="8"/>
  <c r="K179" i="8"/>
  <c r="K225" i="8"/>
  <c r="K227" i="8"/>
  <c r="K230" i="8"/>
  <c r="K232" i="8"/>
  <c r="K234" i="8"/>
  <c r="K242" i="8"/>
  <c r="K244" i="8"/>
  <c r="K247" i="8"/>
  <c r="K249" i="8"/>
  <c r="K251" i="8"/>
  <c r="K348" i="8"/>
  <c r="K350" i="8"/>
  <c r="K353" i="8"/>
  <c r="K355" i="8"/>
  <c r="H111" i="6"/>
  <c r="H110" i="6"/>
  <c r="H109" i="6"/>
  <c r="H108" i="6"/>
  <c r="H107" i="6"/>
  <c r="H106" i="6"/>
  <c r="H105" i="6"/>
  <c r="H104" i="6"/>
  <c r="H103" i="6"/>
  <c r="I91" i="6"/>
  <c r="J90" i="6"/>
  <c r="H88" i="6"/>
  <c r="I87" i="6"/>
  <c r="J86" i="6"/>
  <c r="H84" i="6"/>
  <c r="I83" i="6"/>
  <c r="J82" i="6"/>
  <c r="H80" i="6"/>
  <c r="I79" i="6"/>
  <c r="J78" i="6"/>
  <c r="H76" i="6"/>
  <c r="I75" i="6"/>
  <c r="J74" i="6"/>
  <c r="H72" i="6"/>
  <c r="I71" i="6"/>
  <c r="J70" i="6"/>
  <c r="H68" i="6"/>
  <c r="I67" i="6"/>
  <c r="J66" i="6"/>
  <c r="H64" i="6"/>
  <c r="I63" i="6"/>
  <c r="J62" i="6"/>
  <c r="H60" i="6"/>
  <c r="I59" i="6"/>
  <c r="J58" i="6"/>
  <c r="H56" i="6"/>
  <c r="I55" i="6"/>
  <c r="J54" i="6"/>
  <c r="H52" i="6"/>
  <c r="I51" i="6"/>
  <c r="J50" i="6"/>
  <c r="H48" i="6"/>
  <c r="I47" i="6"/>
  <c r="J46" i="6"/>
  <c r="H44" i="6"/>
  <c r="I43" i="6"/>
  <c r="J42" i="6"/>
  <c r="H40" i="6"/>
  <c r="I39" i="6"/>
  <c r="J38" i="6"/>
  <c r="I34" i="6"/>
  <c r="H33" i="6"/>
  <c r="J31" i="6"/>
  <c r="O111" i="6"/>
  <c r="O110" i="6"/>
  <c r="O109" i="6"/>
  <c r="O108" i="6"/>
  <c r="O107" i="6"/>
  <c r="O106" i="6"/>
  <c r="O105" i="6"/>
  <c r="O104" i="6"/>
  <c r="O103" i="6"/>
  <c r="H91" i="6"/>
  <c r="I90" i="6"/>
  <c r="J89" i="6"/>
  <c r="H87" i="6"/>
  <c r="I86" i="6"/>
  <c r="J85" i="6"/>
  <c r="H83" i="6"/>
  <c r="I82" i="6"/>
  <c r="J81" i="6"/>
  <c r="H79" i="6"/>
  <c r="I78" i="6"/>
  <c r="J77" i="6"/>
  <c r="H75" i="6"/>
  <c r="I74" i="6"/>
  <c r="J73" i="6"/>
  <c r="H71" i="6"/>
  <c r="I70" i="6"/>
  <c r="J69" i="6"/>
  <c r="H67" i="6"/>
  <c r="I66" i="6"/>
  <c r="J65" i="6"/>
  <c r="H63" i="6"/>
  <c r="I62" i="6"/>
  <c r="J61" i="6"/>
  <c r="H59" i="6"/>
  <c r="I58" i="6"/>
  <c r="J57" i="6"/>
  <c r="H55" i="6"/>
  <c r="I54" i="6"/>
  <c r="J53" i="6"/>
  <c r="H51" i="6"/>
  <c r="I50" i="6"/>
  <c r="J49" i="6"/>
  <c r="H47" i="6"/>
  <c r="I46" i="6"/>
  <c r="J45" i="6"/>
  <c r="H43" i="6"/>
  <c r="I42" i="6"/>
  <c r="J41" i="6"/>
  <c r="H39" i="6"/>
  <c r="I38" i="6"/>
  <c r="H34" i="6"/>
  <c r="J32" i="6"/>
  <c r="I31" i="6"/>
  <c r="H30" i="6"/>
  <c r="J111" i="6"/>
  <c r="J110" i="6"/>
  <c r="J109" i="6"/>
  <c r="J108" i="6"/>
  <c r="J107" i="6"/>
  <c r="J106" i="6"/>
  <c r="J105" i="6"/>
  <c r="J104" i="6"/>
  <c r="J103" i="6"/>
  <c r="H90" i="6"/>
  <c r="I89" i="6"/>
  <c r="J88" i="6"/>
  <c r="H86" i="6"/>
  <c r="I85" i="6"/>
  <c r="J84" i="6"/>
  <c r="H82" i="6"/>
  <c r="I81" i="6"/>
  <c r="J80" i="6"/>
  <c r="H78" i="6"/>
  <c r="I77" i="6"/>
  <c r="J76" i="6"/>
  <c r="H74" i="6"/>
  <c r="I73" i="6"/>
  <c r="J72" i="6"/>
  <c r="H70" i="6"/>
  <c r="I69" i="6"/>
  <c r="J68" i="6"/>
  <c r="H66" i="6"/>
  <c r="I65" i="6"/>
  <c r="J64" i="6"/>
  <c r="H62" i="6"/>
  <c r="I61" i="6"/>
  <c r="J60" i="6"/>
  <c r="H58" i="6"/>
  <c r="I57" i="6"/>
  <c r="J56" i="6"/>
  <c r="H54" i="6"/>
  <c r="I53" i="6"/>
  <c r="J52" i="6"/>
  <c r="H50" i="6"/>
  <c r="I49" i="6"/>
  <c r="J48" i="6"/>
  <c r="H46" i="6"/>
  <c r="I45" i="6"/>
  <c r="J44" i="6"/>
  <c r="H42" i="6"/>
  <c r="I41" i="6"/>
  <c r="J40" i="6"/>
  <c r="H38" i="6"/>
  <c r="J33" i="6"/>
  <c r="I32" i="6"/>
  <c r="H31" i="6"/>
  <c r="I26" i="6"/>
  <c r="J27" i="6"/>
  <c r="H29" i="6"/>
  <c r="J30" i="6"/>
  <c r="H45" i="6"/>
  <c r="I48" i="6"/>
  <c r="J51" i="6"/>
  <c r="H61" i="6"/>
  <c r="I64" i="6"/>
  <c r="J67" i="6"/>
  <c r="H77" i="6"/>
  <c r="I80" i="6"/>
  <c r="J83" i="6"/>
  <c r="I104" i="6"/>
  <c r="I108" i="6"/>
  <c r="L38" i="18"/>
  <c r="S131" i="5"/>
  <c r="L129" i="18"/>
  <c r="F230" i="13"/>
  <c r="F231" i="13"/>
  <c r="V167" i="5"/>
  <c r="F34" i="13"/>
  <c r="F32" i="13"/>
  <c r="F30" i="13"/>
  <c r="V152" i="5"/>
  <c r="F33" i="13"/>
  <c r="F31" i="13"/>
  <c r="F232" i="13"/>
  <c r="F229" i="13"/>
  <c r="F233" i="13"/>
  <c r="Y34" i="4"/>
  <c r="Y33" i="4"/>
  <c r="W29" i="4"/>
  <c r="V31" i="4"/>
  <c r="X32" i="4"/>
  <c r="X33" i="4"/>
  <c r="V34" i="4"/>
  <c r="V32" i="4"/>
  <c r="I233" i="15"/>
  <c r="I229" i="15"/>
  <c r="I225" i="15"/>
  <c r="I221" i="15"/>
  <c r="I217" i="15"/>
  <c r="I232" i="15"/>
  <c r="I228" i="15"/>
  <c r="I224" i="15"/>
  <c r="I220" i="15"/>
  <c r="I234" i="15"/>
  <c r="I231" i="15"/>
  <c r="I227" i="15"/>
  <c r="I223" i="15"/>
  <c r="I219" i="15"/>
  <c r="I230" i="15"/>
  <c r="I226" i="15"/>
  <c r="I222" i="15"/>
  <c r="I218" i="15"/>
  <c r="H28" i="4"/>
  <c r="H37" i="4"/>
  <c r="K136" i="18"/>
  <c r="K137" i="18"/>
  <c r="K134" i="18"/>
  <c r="L56" i="18"/>
  <c r="K41" i="18"/>
  <c r="L26" i="18"/>
  <c r="L51" i="18"/>
  <c r="L31" i="18"/>
  <c r="L39" i="18"/>
  <c r="K52" i="18"/>
  <c r="L53" i="18"/>
  <c r="L58" i="18"/>
  <c r="L37" i="18"/>
  <c r="L41" i="18"/>
  <c r="L44" i="18"/>
  <c r="K12" i="18"/>
  <c r="L27" i="18"/>
  <c r="K29" i="18"/>
  <c r="K92" i="18"/>
  <c r="K23" i="18"/>
  <c r="K194" i="18"/>
  <c r="L104" i="18"/>
  <c r="K130" i="18"/>
  <c r="M7" i="20"/>
  <c r="G236" i="15"/>
  <c r="H236" i="15" s="1"/>
  <c r="G235" i="15"/>
  <c r="H235" i="15" s="1"/>
  <c r="I235" i="15" s="1"/>
  <c r="K127" i="20" s="1"/>
  <c r="N125" i="20" s="1"/>
  <c r="L19" i="11"/>
  <c r="L20" i="11"/>
  <c r="L21" i="11"/>
  <c r="L18" i="11"/>
  <c r="J54" i="2"/>
  <c r="G33" i="20"/>
  <c r="I127" i="6"/>
  <c r="L66" i="2"/>
  <c r="O44" i="8" s="1"/>
  <c r="E77" i="17"/>
  <c r="F126" i="6"/>
  <c r="L126" i="6" s="1"/>
  <c r="J47" i="2"/>
  <c r="C63" i="2"/>
  <c r="O61" i="2"/>
  <c r="J64" i="2"/>
  <c r="O16" i="11"/>
  <c r="O56" i="2"/>
  <c r="F33" i="6"/>
  <c r="O62" i="2"/>
  <c r="U29" i="6"/>
  <c r="L29" i="6"/>
  <c r="R29" i="6"/>
  <c r="O29" i="6"/>
  <c r="AE8" i="18"/>
  <c r="Y8" i="18"/>
  <c r="F31" i="6"/>
  <c r="O60" i="2"/>
  <c r="L32" i="6"/>
  <c r="O32" i="6"/>
  <c r="U32" i="6"/>
  <c r="R32" i="6"/>
  <c r="S25" i="6"/>
  <c r="L47" i="11"/>
  <c r="G16" i="20"/>
  <c r="P10" i="15" l="1"/>
  <c r="L10" i="15"/>
  <c r="O10" i="15"/>
  <c r="K10" i="15"/>
  <c r="N10" i="15"/>
  <c r="J10" i="15"/>
  <c r="Q10" i="15"/>
  <c r="M10" i="15"/>
  <c r="I10" i="15"/>
  <c r="Q23" i="15"/>
  <c r="M23" i="15"/>
  <c r="I23" i="15"/>
  <c r="P23" i="15"/>
  <c r="L23" i="15"/>
  <c r="O23" i="15"/>
  <c r="K23" i="15"/>
  <c r="N23" i="15"/>
  <c r="J23" i="15"/>
  <c r="P22" i="15"/>
  <c r="P24" i="15" s="1"/>
  <c r="I12" i="6" s="1"/>
  <c r="L22" i="15"/>
  <c r="L24" i="15" s="1"/>
  <c r="O22" i="15"/>
  <c r="O24" i="15" s="1"/>
  <c r="H12" i="6" s="1"/>
  <c r="K22" i="15"/>
  <c r="N22" i="15"/>
  <c r="N24" i="15" s="1"/>
  <c r="J22" i="15"/>
  <c r="J24" i="15" s="1"/>
  <c r="Q22" i="15"/>
  <c r="Q24" i="15" s="1"/>
  <c r="J12" i="6" s="1"/>
  <c r="M22" i="15"/>
  <c r="I22" i="15"/>
  <c r="Q52" i="15"/>
  <c r="M52" i="15"/>
  <c r="I52" i="15"/>
  <c r="P52" i="15"/>
  <c r="L52" i="15"/>
  <c r="O52" i="15"/>
  <c r="K52" i="15"/>
  <c r="N52" i="15"/>
  <c r="J52" i="15"/>
  <c r="N18" i="15"/>
  <c r="N58" i="15"/>
  <c r="N60" i="15" s="1"/>
  <c r="J58" i="15"/>
  <c r="J60" i="15" s="1"/>
  <c r="Q58" i="15"/>
  <c r="Q60" i="15" s="1"/>
  <c r="J18" i="6" s="1"/>
  <c r="M58" i="15"/>
  <c r="M60" i="15" s="1"/>
  <c r="I58" i="15"/>
  <c r="I60" i="15" s="1"/>
  <c r="P58" i="15"/>
  <c r="P60" i="15" s="1"/>
  <c r="I18" i="6" s="1"/>
  <c r="L58" i="15"/>
  <c r="L60" i="15" s="1"/>
  <c r="O58" i="15"/>
  <c r="O60" i="15" s="1"/>
  <c r="H18" i="6" s="1"/>
  <c r="K58" i="15"/>
  <c r="K60" i="15" s="1"/>
  <c r="N34" i="15"/>
  <c r="N36" i="15" s="1"/>
  <c r="J34" i="15"/>
  <c r="J36" i="15" s="1"/>
  <c r="Q34" i="15"/>
  <c r="Q36" i="15" s="1"/>
  <c r="J14" i="6" s="1"/>
  <c r="M34" i="15"/>
  <c r="M36" i="15" s="1"/>
  <c r="I34" i="15"/>
  <c r="I36" i="15" s="1"/>
  <c r="P34" i="15"/>
  <c r="P36" i="15" s="1"/>
  <c r="I14" i="6" s="1"/>
  <c r="L34" i="15"/>
  <c r="L36" i="15" s="1"/>
  <c r="O34" i="15"/>
  <c r="O36" i="15" s="1"/>
  <c r="H14" i="6" s="1"/>
  <c r="K34" i="15"/>
  <c r="K36" i="15" s="1"/>
  <c r="I18" i="15"/>
  <c r="Q48" i="15"/>
  <c r="J16" i="6" s="1"/>
  <c r="P17" i="15"/>
  <c r="L17" i="15"/>
  <c r="O17" i="15"/>
  <c r="O18" i="15" s="1"/>
  <c r="H11" i="6" s="1"/>
  <c r="K17" i="15"/>
  <c r="N17" i="15"/>
  <c r="J17" i="15"/>
  <c r="Q17" i="15"/>
  <c r="M17" i="15"/>
  <c r="M18" i="15" s="1"/>
  <c r="I17" i="15"/>
  <c r="Q47" i="15"/>
  <c r="M47" i="15"/>
  <c r="M48" i="15" s="1"/>
  <c r="I47" i="15"/>
  <c r="P47" i="15"/>
  <c r="L47" i="15"/>
  <c r="O47" i="15"/>
  <c r="O48" i="15" s="1"/>
  <c r="H16" i="6" s="1"/>
  <c r="K47" i="15"/>
  <c r="K48" i="15" s="1"/>
  <c r="N47" i="15"/>
  <c r="J47" i="15"/>
  <c r="J48" i="15" s="1"/>
  <c r="J18" i="15"/>
  <c r="N53" i="15"/>
  <c r="J53" i="15"/>
  <c r="Q53" i="15"/>
  <c r="M53" i="15"/>
  <c r="I53" i="15"/>
  <c r="P53" i="15"/>
  <c r="L53" i="15"/>
  <c r="O53" i="15"/>
  <c r="K53" i="15"/>
  <c r="N29" i="15"/>
  <c r="J29" i="15"/>
  <c r="Q29" i="15"/>
  <c r="M29" i="15"/>
  <c r="I29" i="15"/>
  <c r="P29" i="15"/>
  <c r="L29" i="15"/>
  <c r="O29" i="15"/>
  <c r="K29" i="15"/>
  <c r="N11" i="15"/>
  <c r="J11" i="15"/>
  <c r="Q11" i="15"/>
  <c r="M11" i="15"/>
  <c r="I11" i="15"/>
  <c r="P11" i="15"/>
  <c r="L11" i="15"/>
  <c r="O11" i="15"/>
  <c r="K11" i="15"/>
  <c r="P18" i="15"/>
  <c r="I11" i="6" s="1"/>
  <c r="L48" i="15"/>
  <c r="F45" i="20"/>
  <c r="F54" i="20" s="1"/>
  <c r="F56" i="20" s="1"/>
  <c r="J47" i="11"/>
  <c r="K18" i="15"/>
  <c r="Q28" i="15"/>
  <c r="M28" i="15"/>
  <c r="M30" i="15" s="1"/>
  <c r="I28" i="15"/>
  <c r="I30" i="15" s="1"/>
  <c r="P28" i="15"/>
  <c r="L28" i="15"/>
  <c r="O28" i="15"/>
  <c r="O30" i="15" s="1"/>
  <c r="H13" i="6" s="1"/>
  <c r="K28" i="15"/>
  <c r="K30" i="15" s="1"/>
  <c r="N28" i="15"/>
  <c r="J28" i="15"/>
  <c r="J30" i="15" s="1"/>
  <c r="Q42" i="15"/>
  <c r="J15" i="6" s="1"/>
  <c r="Q18" i="15"/>
  <c r="J11" i="6" s="1"/>
  <c r="L42" i="15"/>
  <c r="L18" i="15"/>
  <c r="I48" i="15"/>
  <c r="N48" i="15"/>
  <c r="P48" i="15"/>
  <c r="I16" i="6" s="1"/>
  <c r="H117" i="20"/>
  <c r="T113" i="20"/>
  <c r="F47" i="20"/>
  <c r="N49" i="2"/>
  <c r="F27" i="6" s="1"/>
  <c r="R27" i="6" s="1"/>
  <c r="O30" i="6"/>
  <c r="L30" i="6"/>
  <c r="U30" i="6"/>
  <c r="O57" i="2"/>
  <c r="L16" i="18"/>
  <c r="K125" i="18"/>
  <c r="N47" i="2"/>
  <c r="F26" i="6" s="1"/>
  <c r="E87" i="17"/>
  <c r="O95" i="15"/>
  <c r="U96" i="15" s="1"/>
  <c r="J90" i="3"/>
  <c r="N188" i="15"/>
  <c r="J120" i="6"/>
  <c r="H113" i="20"/>
  <c r="U7" i="6"/>
  <c r="F13" i="6" s="1"/>
  <c r="L49" i="6"/>
  <c r="L65" i="6"/>
  <c r="J113" i="20"/>
  <c r="N64" i="2"/>
  <c r="O64" i="2" s="1"/>
  <c r="I236" i="15"/>
  <c r="L127" i="20" s="1"/>
  <c r="P125" i="20" s="1"/>
  <c r="I120" i="6"/>
  <c r="L81" i="6"/>
  <c r="O46" i="6"/>
  <c r="L46" i="6"/>
  <c r="O39" i="6"/>
  <c r="L39" i="6"/>
  <c r="O78" i="6"/>
  <c r="L78" i="6"/>
  <c r="O55" i="6"/>
  <c r="L55" i="6"/>
  <c r="O64" i="6"/>
  <c r="L64" i="6"/>
  <c r="O42" i="6"/>
  <c r="L42" i="6"/>
  <c r="O58" i="6"/>
  <c r="L58" i="6"/>
  <c r="O74" i="6"/>
  <c r="L74" i="6"/>
  <c r="O90" i="6"/>
  <c r="L90" i="6"/>
  <c r="O51" i="6"/>
  <c r="L51" i="6"/>
  <c r="O67" i="6"/>
  <c r="L67" i="6"/>
  <c r="O83" i="6"/>
  <c r="L83" i="6"/>
  <c r="O44" i="6"/>
  <c r="L44" i="6"/>
  <c r="O60" i="6"/>
  <c r="L60" i="6"/>
  <c r="O76" i="6"/>
  <c r="L76" i="6"/>
  <c r="L41" i="6"/>
  <c r="O41" i="6"/>
  <c r="O87" i="6"/>
  <c r="L87" i="6"/>
  <c r="L45" i="6"/>
  <c r="O45" i="6"/>
  <c r="O38" i="6"/>
  <c r="L38" i="6"/>
  <c r="O54" i="6"/>
  <c r="L54" i="6"/>
  <c r="O70" i="6"/>
  <c r="L70" i="6"/>
  <c r="O86" i="6"/>
  <c r="L86" i="6"/>
  <c r="O47" i="6"/>
  <c r="L47" i="6"/>
  <c r="O63" i="6"/>
  <c r="L63" i="6"/>
  <c r="O79" i="6"/>
  <c r="L79" i="6"/>
  <c r="O40" i="6"/>
  <c r="L40" i="6"/>
  <c r="O56" i="6"/>
  <c r="L56" i="6"/>
  <c r="O72" i="6"/>
  <c r="L72" i="6"/>
  <c r="O88" i="6"/>
  <c r="L88" i="6"/>
  <c r="L57" i="6"/>
  <c r="O57" i="6"/>
  <c r="L53" i="6"/>
  <c r="O53" i="6"/>
  <c r="L77" i="6"/>
  <c r="O77" i="6"/>
  <c r="O62" i="6"/>
  <c r="L62" i="6"/>
  <c r="O71" i="6"/>
  <c r="L71" i="6"/>
  <c r="O48" i="6"/>
  <c r="L48" i="6"/>
  <c r="O80" i="6"/>
  <c r="L80" i="6"/>
  <c r="L89" i="6"/>
  <c r="O89" i="6"/>
  <c r="L61" i="6"/>
  <c r="O61" i="6"/>
  <c r="O50" i="6"/>
  <c r="L50" i="6"/>
  <c r="O66" i="6"/>
  <c r="L66" i="6"/>
  <c r="O82" i="6"/>
  <c r="L82" i="6"/>
  <c r="O43" i="6"/>
  <c r="L43" i="6"/>
  <c r="O59" i="6"/>
  <c r="L59" i="6"/>
  <c r="O75" i="6"/>
  <c r="L75" i="6"/>
  <c r="O91" i="6"/>
  <c r="L91" i="6"/>
  <c r="O52" i="6"/>
  <c r="L52" i="6"/>
  <c r="O68" i="6"/>
  <c r="L68" i="6"/>
  <c r="O84" i="6"/>
  <c r="L84" i="6"/>
  <c r="L73" i="6"/>
  <c r="O73" i="6"/>
  <c r="L85" i="6"/>
  <c r="O85" i="6"/>
  <c r="L69" i="6"/>
  <c r="O69" i="6"/>
  <c r="W34" i="4"/>
  <c r="W33" i="4"/>
  <c r="W32" i="4"/>
  <c r="J15" i="20"/>
  <c r="G35" i="20"/>
  <c r="N54" i="2"/>
  <c r="J279" i="9"/>
  <c r="J66" i="2"/>
  <c r="C19" i="2"/>
  <c r="S24" i="6"/>
  <c r="G279" i="9"/>
  <c r="O31" i="6"/>
  <c r="L31" i="6"/>
  <c r="R31" i="6" s="1"/>
  <c r="U31" i="6"/>
  <c r="U33" i="6"/>
  <c r="O33" i="6"/>
  <c r="L33" i="6"/>
  <c r="R33" i="6"/>
  <c r="O54" i="15" l="1"/>
  <c r="H17" i="6" s="1"/>
  <c r="M54" i="15"/>
  <c r="M12" i="15"/>
  <c r="K12" i="15"/>
  <c r="J54" i="15"/>
  <c r="L54" i="15"/>
  <c r="Q54" i="15"/>
  <c r="J17" i="6" s="1"/>
  <c r="Q12" i="15"/>
  <c r="J10" i="6" s="1"/>
  <c r="O12" i="15"/>
  <c r="H10" i="6" s="1"/>
  <c r="L30" i="15"/>
  <c r="Q30" i="15"/>
  <c r="J13" i="6" s="1"/>
  <c r="N54" i="15"/>
  <c r="P54" i="15"/>
  <c r="I17" i="6" s="1"/>
  <c r="I24" i="15"/>
  <c r="J12" i="15"/>
  <c r="L12" i="15"/>
  <c r="N30" i="15"/>
  <c r="P30" i="15"/>
  <c r="I13" i="6" s="1"/>
  <c r="K54" i="15"/>
  <c r="I54" i="15"/>
  <c r="M24" i="15"/>
  <c r="K24" i="15"/>
  <c r="I12" i="15"/>
  <c r="N12" i="15"/>
  <c r="P12" i="15"/>
  <c r="I10" i="6" s="1"/>
  <c r="H16" i="20"/>
  <c r="K16" i="11"/>
  <c r="H15" i="20"/>
  <c r="H118" i="20"/>
  <c r="J93" i="20" s="1"/>
  <c r="P93" i="20"/>
  <c r="H118" i="6" s="1"/>
  <c r="H32" i="20"/>
  <c r="H33" i="20"/>
  <c r="O47" i="2"/>
  <c r="O49" i="2"/>
  <c r="O27" i="6"/>
  <c r="L27" i="6"/>
  <c r="U27" i="6"/>
  <c r="K64" i="2"/>
  <c r="E17" i="21"/>
  <c r="O66" i="2"/>
  <c r="G16" i="11"/>
  <c r="G22" i="11" s="1"/>
  <c r="R209" i="15"/>
  <c r="R190" i="15"/>
  <c r="L97" i="20" s="1"/>
  <c r="R194" i="15"/>
  <c r="L101" i="20" s="1"/>
  <c r="R198" i="15"/>
  <c r="L105" i="20" s="1"/>
  <c r="R202" i="15"/>
  <c r="L109" i="20" s="1"/>
  <c r="R197" i="15"/>
  <c r="L104" i="20" s="1"/>
  <c r="R191" i="15"/>
  <c r="L98" i="20" s="1"/>
  <c r="R195" i="15"/>
  <c r="L102" i="20" s="1"/>
  <c r="R199" i="15"/>
  <c r="L106" i="20" s="1"/>
  <c r="R203" i="15"/>
  <c r="L110" i="20" s="1"/>
  <c r="R193" i="15"/>
  <c r="L100" i="20" s="1"/>
  <c r="R205" i="15"/>
  <c r="L112" i="20" s="1"/>
  <c r="R192" i="15"/>
  <c r="L99" i="20" s="1"/>
  <c r="R196" i="15"/>
  <c r="L103" i="20" s="1"/>
  <c r="R200" i="15"/>
  <c r="L107" i="20" s="1"/>
  <c r="R204" i="15"/>
  <c r="L111" i="20" s="1"/>
  <c r="R201" i="15"/>
  <c r="L108" i="20" s="1"/>
  <c r="F11" i="6"/>
  <c r="F44" i="6" s="1"/>
  <c r="K56" i="2"/>
  <c r="G260" i="9"/>
  <c r="F15" i="6"/>
  <c r="F108" i="6" s="1"/>
  <c r="F18" i="6"/>
  <c r="F111" i="6" s="1"/>
  <c r="F17" i="6"/>
  <c r="F110" i="6" s="1"/>
  <c r="M72" i="9"/>
  <c r="F10" i="6"/>
  <c r="F16" i="6"/>
  <c r="F109" i="6" s="1"/>
  <c r="F34" i="6"/>
  <c r="O34" i="6" s="1"/>
  <c r="U34" i="6" s="1"/>
  <c r="F12" i="6"/>
  <c r="F50" i="6" s="1"/>
  <c r="K49" i="2"/>
  <c r="F14" i="6"/>
  <c r="F107" i="6" s="1"/>
  <c r="D62" i="16"/>
  <c r="J126" i="6"/>
  <c r="R208" i="15"/>
  <c r="J121" i="6" s="1"/>
  <c r="H34" i="20"/>
  <c r="F118" i="6"/>
  <c r="H120" i="6"/>
  <c r="F270" i="9"/>
  <c r="I126" i="6"/>
  <c r="K66" i="2"/>
  <c r="K62" i="2"/>
  <c r="M116" i="9"/>
  <c r="K47" i="20"/>
  <c r="V45" i="20" s="1"/>
  <c r="W44" i="20" s="1"/>
  <c r="X44" i="20" s="1"/>
  <c r="K60" i="2"/>
  <c r="K260" i="9"/>
  <c r="F28" i="6"/>
  <c r="O54" i="2"/>
  <c r="K61" i="2"/>
  <c r="F292" i="9"/>
  <c r="K57" i="2"/>
  <c r="E17" i="4"/>
  <c r="I260" i="9"/>
  <c r="K47" i="2"/>
  <c r="K54" i="2"/>
  <c r="M169" i="9"/>
  <c r="D6" i="16"/>
  <c r="E6" i="16" s="1"/>
  <c r="Z7" i="18"/>
  <c r="BG3" i="5" s="1"/>
  <c r="BD7" i="5" s="1"/>
  <c r="AM7" i="5" s="1"/>
  <c r="X7" i="18"/>
  <c r="AB7" i="18"/>
  <c r="AA7" i="18"/>
  <c r="BH3" i="5" s="1"/>
  <c r="BE7" i="5" s="1"/>
  <c r="AN7" i="5" s="1"/>
  <c r="V7" i="18"/>
  <c r="BC3" i="5" s="1"/>
  <c r="BC7" i="5" s="1"/>
  <c r="AL7" i="5" s="1"/>
  <c r="M44" i="8"/>
  <c r="D6" i="17"/>
  <c r="E6" i="17" s="1"/>
  <c r="E78" i="17" s="1"/>
  <c r="W7" i="18"/>
  <c r="U7" i="18"/>
  <c r="BB3" i="5" s="1"/>
  <c r="BB7" i="5" s="1"/>
  <c r="AK7" i="5" s="1"/>
  <c r="T7" i="18"/>
  <c r="BA3" i="5" s="1"/>
  <c r="BA7" i="5" s="1"/>
  <c r="AJ7" i="5" s="1"/>
  <c r="Y7" i="18"/>
  <c r="S7" i="18"/>
  <c r="F56" i="6"/>
  <c r="F106" i="6"/>
  <c r="O28" i="11"/>
  <c r="O26" i="6"/>
  <c r="U26" i="6" s="1"/>
  <c r="F125" i="6" l="1"/>
  <c r="F122" i="6"/>
  <c r="T96" i="20"/>
  <c r="F86" i="6"/>
  <c r="F90" i="6" s="1"/>
  <c r="H35" i="20"/>
  <c r="L47" i="20"/>
  <c r="V46" i="20" s="1"/>
  <c r="W45" i="20" s="1"/>
  <c r="X45" i="20" s="1"/>
  <c r="N47" i="20"/>
  <c r="V48" i="20" s="1"/>
  <c r="M47" i="20"/>
  <c r="V47" i="20" s="1"/>
  <c r="F74" i="6"/>
  <c r="F77" i="6" s="1"/>
  <c r="F104" i="6"/>
  <c r="F62" i="6"/>
  <c r="F63" i="6" s="1"/>
  <c r="G20" i="11"/>
  <c r="J127" i="6"/>
  <c r="M160" i="18"/>
  <c r="G160" i="18" s="1"/>
  <c r="M164" i="18"/>
  <c r="G164" i="18" s="1"/>
  <c r="M163" i="18"/>
  <c r="G163" i="18" s="1"/>
  <c r="M161" i="18"/>
  <c r="G161" i="18" s="1"/>
  <c r="M165" i="18"/>
  <c r="M159" i="18"/>
  <c r="G159" i="18" s="1"/>
  <c r="M158" i="18"/>
  <c r="AE158" i="5" s="1"/>
  <c r="M162" i="18"/>
  <c r="G162" i="18" s="1"/>
  <c r="F68" i="6"/>
  <c r="F69" i="6" s="1"/>
  <c r="M32" i="18"/>
  <c r="AE32" i="5" s="1"/>
  <c r="M73" i="18"/>
  <c r="AE73" i="5" s="1"/>
  <c r="M114" i="18"/>
  <c r="AE114" i="5" s="1"/>
  <c r="M70" i="18"/>
  <c r="AE70" i="5" s="1"/>
  <c r="M115" i="18"/>
  <c r="AE115" i="5" s="1"/>
  <c r="M182" i="18"/>
  <c r="M72" i="18"/>
  <c r="AE72" i="5" s="1"/>
  <c r="M71" i="18"/>
  <c r="AE71" i="5" s="1"/>
  <c r="G18" i="11"/>
  <c r="G19" i="11"/>
  <c r="G21" i="11"/>
  <c r="F105" i="6"/>
  <c r="F80" i="6"/>
  <c r="F81" i="6" s="1"/>
  <c r="L34" i="6"/>
  <c r="R34" i="6" s="1"/>
  <c r="O67" i="2"/>
  <c r="C21" i="2" s="1"/>
  <c r="D12" i="21" s="1"/>
  <c r="F251" i="9"/>
  <c r="L113" i="20"/>
  <c r="J118" i="6" s="1"/>
  <c r="O118" i="6" s="1"/>
  <c r="R35" i="6"/>
  <c r="O24" i="6"/>
  <c r="O133" i="6" s="1"/>
  <c r="D9" i="16" s="1"/>
  <c r="S40" i="21" s="1"/>
  <c r="K35" i="20"/>
  <c r="N35" i="20"/>
  <c r="V35" i="20" s="1"/>
  <c r="M35" i="20"/>
  <c r="V34" i="20" s="1"/>
  <c r="J28" i="11"/>
  <c r="J35" i="20"/>
  <c r="F271" i="9"/>
  <c r="F297" i="9"/>
  <c r="F103" i="6"/>
  <c r="L35" i="20"/>
  <c r="F38" i="6"/>
  <c r="F39" i="6" s="1"/>
  <c r="U35" i="6"/>
  <c r="V96" i="5"/>
  <c r="F296" i="9"/>
  <c r="F293" i="9"/>
  <c r="F294" i="9"/>
  <c r="F295" i="9"/>
  <c r="D59" i="16"/>
  <c r="F273" i="9"/>
  <c r="V95" i="5"/>
  <c r="F274" i="9"/>
  <c r="F275" i="9"/>
  <c r="R28" i="6"/>
  <c r="O28" i="6"/>
  <c r="L28" i="6"/>
  <c r="U28" i="6"/>
  <c r="F272" i="9"/>
  <c r="BF3" i="5"/>
  <c r="AE7" i="18"/>
  <c r="AA12" i="6"/>
  <c r="BI3" i="5"/>
  <c r="E80" i="17"/>
  <c r="BE3" i="5"/>
  <c r="BH7" i="5" s="1"/>
  <c r="AQ7" i="5" s="1"/>
  <c r="AD7" i="18"/>
  <c r="M192" i="18"/>
  <c r="AE192" i="5" s="1"/>
  <c r="M184" i="18"/>
  <c r="AE184" i="5" s="1"/>
  <c r="M175" i="18"/>
  <c r="AE175" i="5" s="1"/>
  <c r="M166" i="18"/>
  <c r="AE166" i="5" s="1"/>
  <c r="M151" i="18"/>
  <c r="AE151" i="5" s="1"/>
  <c r="M193" i="18"/>
  <c r="M185" i="18"/>
  <c r="AE185" i="5" s="1"/>
  <c r="M181" i="18"/>
  <c r="M135" i="18"/>
  <c r="AE135" i="5" s="1"/>
  <c r="M116" i="18"/>
  <c r="AE116" i="5" s="1"/>
  <c r="M107" i="18"/>
  <c r="AE107" i="5" s="1"/>
  <c r="M141" i="18"/>
  <c r="M128" i="18"/>
  <c r="AE128" i="5" s="1"/>
  <c r="M177" i="18"/>
  <c r="AE177" i="5" s="1"/>
  <c r="M149" i="18"/>
  <c r="AE149" i="5" s="1"/>
  <c r="M118" i="18"/>
  <c r="M143" i="18"/>
  <c r="AE143" i="5" s="1"/>
  <c r="M97" i="18"/>
  <c r="AE97" i="5" s="1"/>
  <c r="M90" i="18"/>
  <c r="AE90" i="5" s="1"/>
  <c r="M80" i="18"/>
  <c r="AE80" i="5" s="1"/>
  <c r="M152" i="18"/>
  <c r="M102" i="18"/>
  <c r="AE102" i="5" s="1"/>
  <c r="M123" i="18"/>
  <c r="M98" i="18"/>
  <c r="M89" i="18"/>
  <c r="AE89" i="5" s="1"/>
  <c r="M82" i="18"/>
  <c r="AE82" i="5" s="1"/>
  <c r="M77" i="18"/>
  <c r="AE77" i="5" s="1"/>
  <c r="M67" i="18"/>
  <c r="AE67" i="5" s="1"/>
  <c r="M138" i="18"/>
  <c r="AE138" i="5" s="1"/>
  <c r="M53" i="18"/>
  <c r="AE53" i="5" s="1"/>
  <c r="M38" i="18"/>
  <c r="AE38" i="5" s="1"/>
  <c r="M31" i="18"/>
  <c r="AE31" i="5" s="1"/>
  <c r="M24" i="18"/>
  <c r="AE24" i="5" s="1"/>
  <c r="M14" i="18"/>
  <c r="AE14" i="5" s="1"/>
  <c r="M9" i="18"/>
  <c r="AE9" i="5" s="1"/>
  <c r="M60" i="18"/>
  <c r="AE60" i="5" s="1"/>
  <c r="M50" i="18"/>
  <c r="AE50" i="5" s="1"/>
  <c r="M49" i="18"/>
  <c r="AE49" i="5" s="1"/>
  <c r="M62" i="18"/>
  <c r="AE62" i="5" s="1"/>
  <c r="M15" i="18"/>
  <c r="AE15" i="5" s="1"/>
  <c r="M46" i="18"/>
  <c r="AE46" i="5" s="1"/>
  <c r="M20" i="18"/>
  <c r="AE20" i="5" s="1"/>
  <c r="M19" i="18"/>
  <c r="M186" i="18"/>
  <c r="AE186" i="5" s="1"/>
  <c r="M153" i="18"/>
  <c r="AE153" i="5" s="1"/>
  <c r="M142" i="18"/>
  <c r="AE142" i="5" s="1"/>
  <c r="M109" i="18"/>
  <c r="AE109" i="5" s="1"/>
  <c r="M122" i="18"/>
  <c r="AE122" i="5" s="1"/>
  <c r="M176" i="18"/>
  <c r="M83" i="18"/>
  <c r="AE83" i="5" s="1"/>
  <c r="M127" i="18"/>
  <c r="AE127" i="5" s="1"/>
  <c r="M84" i="18"/>
  <c r="AE84" i="5" s="1"/>
  <c r="M179" i="18"/>
  <c r="AE179" i="5" s="1"/>
  <c r="M34" i="18"/>
  <c r="AE34" i="5" s="1"/>
  <c r="M10" i="18"/>
  <c r="AE10" i="5" s="1"/>
  <c r="M59" i="18"/>
  <c r="AE59" i="5" s="1"/>
  <c r="M54" i="18"/>
  <c r="AE54" i="5" s="1"/>
  <c r="M191" i="18"/>
  <c r="AE191" i="5" s="1"/>
  <c r="M183" i="18"/>
  <c r="AE183" i="5" s="1"/>
  <c r="M172" i="18"/>
  <c r="AE172" i="5" s="1"/>
  <c r="M157" i="18"/>
  <c r="M150" i="18"/>
  <c r="AE150" i="5" s="1"/>
  <c r="M190" i="18"/>
  <c r="M173" i="18"/>
  <c r="AE173" i="5" s="1"/>
  <c r="M154" i="18"/>
  <c r="AE154" i="5" s="1"/>
  <c r="M121" i="18"/>
  <c r="AE121" i="5" s="1"/>
  <c r="M112" i="18"/>
  <c r="AE112" i="5" s="1"/>
  <c r="M168" i="18"/>
  <c r="AE168" i="5" s="1"/>
  <c r="M136" i="18"/>
  <c r="AE136" i="5" s="1"/>
  <c r="M126" i="18"/>
  <c r="AE126" i="5" s="1"/>
  <c r="M174" i="18"/>
  <c r="AE174" i="5" s="1"/>
  <c r="M139" i="18"/>
  <c r="AE139" i="5" s="1"/>
  <c r="M113" i="18"/>
  <c r="M104" i="18"/>
  <c r="AE104" i="5" s="1"/>
  <c r="M95" i="18"/>
  <c r="AE95" i="5" s="1"/>
  <c r="M87" i="18"/>
  <c r="AE87" i="5" s="1"/>
  <c r="M76" i="18"/>
  <c r="AE76" i="5" s="1"/>
  <c r="M134" i="18"/>
  <c r="AE134" i="5" s="1"/>
  <c r="M101" i="18"/>
  <c r="AE101" i="5" s="1"/>
  <c r="M108" i="18"/>
  <c r="AE108" i="5" s="1"/>
  <c r="M96" i="18"/>
  <c r="AE96" i="5" s="1"/>
  <c r="M88" i="18"/>
  <c r="AE88" i="5" s="1"/>
  <c r="M81" i="18"/>
  <c r="AE81" i="5" s="1"/>
  <c r="M75" i="18"/>
  <c r="AE75" i="5" s="1"/>
  <c r="M45" i="18"/>
  <c r="AE45" i="5" s="1"/>
  <c r="M63" i="18"/>
  <c r="AE63" i="5" s="1"/>
  <c r="M52" i="18"/>
  <c r="AE52" i="5" s="1"/>
  <c r="M36" i="18"/>
  <c r="AE36" i="5" s="1"/>
  <c r="M30" i="18"/>
  <c r="AE30" i="5" s="1"/>
  <c r="M22" i="18"/>
  <c r="M13" i="18"/>
  <c r="AE13" i="5" s="1"/>
  <c r="M131" i="18"/>
  <c r="AE131" i="5" s="1"/>
  <c r="M56" i="18"/>
  <c r="AE56" i="5" s="1"/>
  <c r="M43" i="18"/>
  <c r="AE43" i="5" s="1"/>
  <c r="M47" i="18"/>
  <c r="AE47" i="5" s="1"/>
  <c r="M33" i="18"/>
  <c r="AE33" i="5" s="1"/>
  <c r="M140" i="18"/>
  <c r="AE140" i="5" s="1"/>
  <c r="M40" i="18"/>
  <c r="AE40" i="5" s="1"/>
  <c r="M17" i="18"/>
  <c r="AE17" i="5" s="1"/>
  <c r="M12" i="18"/>
  <c r="AE12" i="5" s="1"/>
  <c r="M194" i="18"/>
  <c r="AE194" i="5" s="1"/>
  <c r="M169" i="18"/>
  <c r="AE169" i="5" s="1"/>
  <c r="M147" i="18"/>
  <c r="AE147" i="5" s="1"/>
  <c r="M137" i="18"/>
  <c r="AE137" i="5" s="1"/>
  <c r="M146" i="18"/>
  <c r="AE146" i="5" s="1"/>
  <c r="M167" i="18"/>
  <c r="AE167" i="5" s="1"/>
  <c r="M99" i="18"/>
  <c r="AE99" i="5" s="1"/>
  <c r="M100" i="18"/>
  <c r="AE100" i="5" s="1"/>
  <c r="M78" i="18"/>
  <c r="AE78" i="5" s="1"/>
  <c r="M57" i="18"/>
  <c r="AE57" i="5" s="1"/>
  <c r="M26" i="18"/>
  <c r="AE26" i="5" s="1"/>
  <c r="M61" i="18"/>
  <c r="AE61" i="5" s="1"/>
  <c r="M64" i="18"/>
  <c r="AE64" i="5" s="1"/>
  <c r="M23" i="18"/>
  <c r="AE23" i="5" s="1"/>
  <c r="AZ3" i="5"/>
  <c r="AZ7" i="5" s="1"/>
  <c r="M189" i="18"/>
  <c r="AE189" i="5" s="1"/>
  <c r="M180" i="18"/>
  <c r="M171" i="18"/>
  <c r="AE171" i="5" s="1"/>
  <c r="M155" i="18"/>
  <c r="AE155" i="5" s="1"/>
  <c r="M148" i="18"/>
  <c r="AE148" i="5" s="1"/>
  <c r="M188" i="18"/>
  <c r="AE188" i="5" s="1"/>
  <c r="M144" i="18"/>
  <c r="M145" i="18"/>
  <c r="AE145" i="5" s="1"/>
  <c r="M119" i="18"/>
  <c r="M111" i="18"/>
  <c r="AE111" i="5" s="1"/>
  <c r="M156" i="18"/>
  <c r="AE156" i="5" s="1"/>
  <c r="M132" i="18"/>
  <c r="AE132" i="5" s="1"/>
  <c r="M125" i="18"/>
  <c r="AE125" i="5" s="1"/>
  <c r="M170" i="18"/>
  <c r="AE170" i="5" s="1"/>
  <c r="M133" i="18"/>
  <c r="AE133" i="5" s="1"/>
  <c r="M110" i="18"/>
  <c r="AE110" i="5" s="1"/>
  <c r="M103" i="18"/>
  <c r="AE103" i="5" s="1"/>
  <c r="M93" i="18"/>
  <c r="AE93" i="5" s="1"/>
  <c r="M85" i="18"/>
  <c r="AE85" i="5" s="1"/>
  <c r="M74" i="18"/>
  <c r="AE74" i="5" s="1"/>
  <c r="M124" i="18"/>
  <c r="AE124" i="5" s="1"/>
  <c r="M130" i="18"/>
  <c r="AE130" i="5" s="1"/>
  <c r="M105" i="18"/>
  <c r="AE105" i="5" s="1"/>
  <c r="M94" i="18"/>
  <c r="M86" i="18"/>
  <c r="AE86" i="5" s="1"/>
  <c r="M79" i="18"/>
  <c r="AE79" i="5" s="1"/>
  <c r="M44" i="18"/>
  <c r="AE44" i="5" s="1"/>
  <c r="M58" i="18"/>
  <c r="AE58" i="5" s="1"/>
  <c r="M48" i="18"/>
  <c r="AE48" i="5" s="1"/>
  <c r="M35" i="18"/>
  <c r="AE35" i="5" s="1"/>
  <c r="M28" i="18"/>
  <c r="AE28" i="5" s="1"/>
  <c r="M18" i="18"/>
  <c r="AE18" i="5" s="1"/>
  <c r="M11" i="18"/>
  <c r="AE11" i="5" s="1"/>
  <c r="M65" i="18"/>
  <c r="AE65" i="5" s="1"/>
  <c r="M55" i="18"/>
  <c r="AE55" i="5" s="1"/>
  <c r="M69" i="18"/>
  <c r="AE69" i="5" s="1"/>
  <c r="M27" i="18"/>
  <c r="AE27" i="5" s="1"/>
  <c r="M29" i="18"/>
  <c r="AE29" i="5" s="1"/>
  <c r="M66" i="18"/>
  <c r="AE66" i="5" s="1"/>
  <c r="M37" i="18"/>
  <c r="AE37" i="5" s="1"/>
  <c r="M42" i="18"/>
  <c r="AE42" i="5" s="1"/>
  <c r="M39" i="18"/>
  <c r="AE39" i="5" s="1"/>
  <c r="M178" i="18"/>
  <c r="AE178" i="5" s="1"/>
  <c r="M187" i="18"/>
  <c r="AE187" i="5" s="1"/>
  <c r="M117" i="18"/>
  <c r="AE117" i="5" s="1"/>
  <c r="M129" i="18"/>
  <c r="AE129" i="5" s="1"/>
  <c r="M120" i="18"/>
  <c r="AE120" i="5" s="1"/>
  <c r="M92" i="18"/>
  <c r="AE92" i="5" s="1"/>
  <c r="M106" i="18"/>
  <c r="AE106" i="5" s="1"/>
  <c r="M91" i="18"/>
  <c r="AE91" i="5" s="1"/>
  <c r="M68" i="18"/>
  <c r="AE68" i="5" s="1"/>
  <c r="M41" i="18"/>
  <c r="AE41" i="5" s="1"/>
  <c r="M16" i="18"/>
  <c r="AE16" i="5" s="1"/>
  <c r="M51" i="18"/>
  <c r="AE51" i="5" s="1"/>
  <c r="M21" i="18"/>
  <c r="AE21" i="5" s="1"/>
  <c r="M25" i="18"/>
  <c r="AE25" i="5" s="1"/>
  <c r="BD3" i="5"/>
  <c r="BG7" i="5" s="1"/>
  <c r="AP7" i="5" s="1"/>
  <c r="AC7" i="18"/>
  <c r="E7" i="18"/>
  <c r="F79" i="6"/>
  <c r="F75" i="6"/>
  <c r="F78" i="6"/>
  <c r="F76" i="6"/>
  <c r="F55" i="6"/>
  <c r="F53" i="6"/>
  <c r="F51" i="6"/>
  <c r="F54" i="6"/>
  <c r="F52" i="6"/>
  <c r="F49" i="6"/>
  <c r="F47" i="6"/>
  <c r="F45" i="6"/>
  <c r="F48" i="6"/>
  <c r="F46" i="6"/>
  <c r="F61" i="6"/>
  <c r="F59" i="6"/>
  <c r="F57" i="6"/>
  <c r="F60" i="6"/>
  <c r="F58" i="6"/>
  <c r="F65" i="6"/>
  <c r="F66" i="6"/>
  <c r="F73" i="6"/>
  <c r="F71" i="6"/>
  <c r="F70" i="6"/>
  <c r="F128" i="6" l="1"/>
  <c r="F87" i="6"/>
  <c r="F89" i="6"/>
  <c r="F91" i="6"/>
  <c r="F88" i="6"/>
  <c r="J125" i="6"/>
  <c r="W46" i="20"/>
  <c r="X46" i="20" s="1"/>
  <c r="AE164" i="5"/>
  <c r="F83" i="6"/>
  <c r="O50" i="11"/>
  <c r="V33" i="20"/>
  <c r="W33" i="20" s="1"/>
  <c r="X33" i="20" s="1"/>
  <c r="O48" i="11"/>
  <c r="V31" i="20"/>
  <c r="W47" i="20"/>
  <c r="X47" i="20" s="1"/>
  <c r="U42" i="20"/>
  <c r="W34" i="20"/>
  <c r="X34" i="20" s="1"/>
  <c r="O49" i="11"/>
  <c r="V32" i="20"/>
  <c r="U29" i="20" s="1"/>
  <c r="F64" i="6"/>
  <c r="F67" i="6"/>
  <c r="AE159" i="5"/>
  <c r="F72" i="6"/>
  <c r="AE160" i="5"/>
  <c r="AE163" i="5"/>
  <c r="AE162" i="5"/>
  <c r="AE161" i="5"/>
  <c r="N159" i="18"/>
  <c r="H159" i="18" s="1"/>
  <c r="N163" i="18"/>
  <c r="H163" i="18" s="1"/>
  <c r="N160" i="18"/>
  <c r="H160" i="18" s="1"/>
  <c r="N164" i="18"/>
  <c r="H164" i="18" s="1"/>
  <c r="N161" i="18"/>
  <c r="H161" i="18" s="1"/>
  <c r="N165" i="18"/>
  <c r="H165" i="18" s="1"/>
  <c r="N158" i="18"/>
  <c r="N162" i="18"/>
  <c r="H162" i="18" s="1"/>
  <c r="I158" i="18"/>
  <c r="BI7" i="5"/>
  <c r="AR7" i="5" s="1"/>
  <c r="AE165" i="5"/>
  <c r="J207" i="13"/>
  <c r="J206" i="13" s="1"/>
  <c r="BF7" i="5"/>
  <c r="J54" i="9"/>
  <c r="F55" i="9" s="1"/>
  <c r="F82" i="6"/>
  <c r="F85" i="6"/>
  <c r="G182" i="18"/>
  <c r="AE182" i="5"/>
  <c r="F84" i="6"/>
  <c r="N32" i="18"/>
  <c r="N72" i="18"/>
  <c r="AG72" i="5" s="1"/>
  <c r="N71" i="18"/>
  <c r="N73" i="18"/>
  <c r="N182" i="18"/>
  <c r="H182" i="18" s="1"/>
  <c r="N114" i="18"/>
  <c r="N70" i="18"/>
  <c r="N115" i="18"/>
  <c r="J82" i="14"/>
  <c r="J81" i="14" s="1"/>
  <c r="AE180" i="5"/>
  <c r="J142" i="8"/>
  <c r="AE22" i="5"/>
  <c r="J215" i="14"/>
  <c r="AE193" i="5"/>
  <c r="J86" i="10"/>
  <c r="AE119" i="5"/>
  <c r="J6" i="10"/>
  <c r="AE113" i="5"/>
  <c r="J151" i="13"/>
  <c r="F152" i="13" s="1"/>
  <c r="V157" i="5" s="1"/>
  <c r="AE157" i="5"/>
  <c r="J30" i="14"/>
  <c r="J29" i="14" s="1"/>
  <c r="AE176" i="5"/>
  <c r="J28" i="13"/>
  <c r="J27" i="13" s="1"/>
  <c r="AE152" i="5"/>
  <c r="J250" i="9"/>
  <c r="AE94" i="5"/>
  <c r="J320" i="9"/>
  <c r="J319" i="9" s="1"/>
  <c r="AE98" i="5"/>
  <c r="AE118" i="5"/>
  <c r="J130" i="11"/>
  <c r="AE141" i="5"/>
  <c r="J102" i="14"/>
  <c r="J101" i="14" s="1"/>
  <c r="AE181" i="5"/>
  <c r="O130" i="11"/>
  <c r="J129" i="11" s="1"/>
  <c r="AE144" i="5"/>
  <c r="J187" i="14"/>
  <c r="J186" i="14" s="1"/>
  <c r="AE190" i="5"/>
  <c r="J131" i="8"/>
  <c r="AE19" i="5"/>
  <c r="J15" i="11"/>
  <c r="AE123" i="5"/>
  <c r="J185" i="13"/>
  <c r="J184" i="13" s="1"/>
  <c r="O51" i="11"/>
  <c r="F43" i="6"/>
  <c r="O113" i="6"/>
  <c r="O134" i="6" s="1"/>
  <c r="D34" i="16" s="1"/>
  <c r="T40" i="21" s="1"/>
  <c r="D5" i="17"/>
  <c r="E5" i="17" s="1"/>
  <c r="D5" i="16"/>
  <c r="E5" i="16" s="1"/>
  <c r="D61" i="16"/>
  <c r="D12" i="4"/>
  <c r="F28" i="11"/>
  <c r="J26" i="11" s="1"/>
  <c r="S40" i="4"/>
  <c r="H15" i="14"/>
  <c r="J27" i="11"/>
  <c r="O52" i="11"/>
  <c r="H18" i="20"/>
  <c r="F16" i="11" s="1"/>
  <c r="F42" i="6"/>
  <c r="F40" i="6"/>
  <c r="L95" i="6" s="1"/>
  <c r="E16" i="16" s="1"/>
  <c r="F41" i="6"/>
  <c r="O96" i="6" s="1"/>
  <c r="D17" i="16" s="1"/>
  <c r="O35" i="6"/>
  <c r="D8" i="16" s="1"/>
  <c r="J291" i="9"/>
  <c r="J290" i="9" s="1"/>
  <c r="J269" i="9"/>
  <c r="J268" i="9" s="1"/>
  <c r="J7" i="8"/>
  <c r="L93" i="6"/>
  <c r="E14" i="16" s="1"/>
  <c r="O93" i="6"/>
  <c r="D14" i="16" s="1"/>
  <c r="O167" i="13"/>
  <c r="O166" i="13" s="1"/>
  <c r="O185" i="13"/>
  <c r="O184" i="13" s="1"/>
  <c r="O176" i="13"/>
  <c r="O175" i="13" s="1"/>
  <c r="J176" i="13"/>
  <c r="J175" i="13" s="1"/>
  <c r="J167" i="13"/>
  <c r="J166" i="13" s="1"/>
  <c r="E79" i="17"/>
  <c r="J240" i="9"/>
  <c r="J239" i="9" s="1"/>
  <c r="G92" i="18"/>
  <c r="J36" i="9"/>
  <c r="J408" i="8"/>
  <c r="G397" i="8" s="1"/>
  <c r="G136" i="18"/>
  <c r="J362" i="8"/>
  <c r="J185" i="8"/>
  <c r="J184" i="8" s="1"/>
  <c r="J168" i="14"/>
  <c r="J167" i="14" s="1"/>
  <c r="J115" i="8"/>
  <c r="O212" i="9"/>
  <c r="O211" i="9" s="1"/>
  <c r="G125" i="18"/>
  <c r="J178" i="14"/>
  <c r="J177" i="14" s="1"/>
  <c r="J100" i="11"/>
  <c r="G45" i="18"/>
  <c r="J7" i="11"/>
  <c r="J73" i="14"/>
  <c r="J72" i="14" s="1"/>
  <c r="J50" i="13"/>
  <c r="J49" i="13" s="1"/>
  <c r="O100" i="11"/>
  <c r="G135" i="18"/>
  <c r="G120" i="18"/>
  <c r="J17" i="9"/>
  <c r="J212" i="8"/>
  <c r="J211" i="8" s="1"/>
  <c r="G28" i="18"/>
  <c r="J389" i="9"/>
  <c r="J388" i="9" s="1"/>
  <c r="G26" i="18"/>
  <c r="J194" i="8"/>
  <c r="G137" i="18"/>
  <c r="G12" i="18"/>
  <c r="G131" i="18"/>
  <c r="J72" i="9"/>
  <c r="F73" i="9" s="1"/>
  <c r="J221" i="9"/>
  <c r="J220" i="9" s="1"/>
  <c r="O203" i="9"/>
  <c r="O202" i="9" s="1"/>
  <c r="J149" i="14"/>
  <c r="J148" i="14" s="1"/>
  <c r="J436" i="8"/>
  <c r="J435" i="8" s="1"/>
  <c r="J26" i="9"/>
  <c r="J25" i="9" s="1"/>
  <c r="J193" i="9"/>
  <c r="J192" i="9" s="1"/>
  <c r="N180" i="18"/>
  <c r="H180" i="18" s="1"/>
  <c r="N171" i="18"/>
  <c r="N155" i="18"/>
  <c r="N148" i="18"/>
  <c r="AG148" i="5" s="1"/>
  <c r="N188" i="18"/>
  <c r="AG188" i="5" s="1"/>
  <c r="N181" i="18"/>
  <c r="N174" i="18"/>
  <c r="N156" i="18"/>
  <c r="N146" i="18"/>
  <c r="N141" i="18"/>
  <c r="H141" i="18" s="1"/>
  <c r="N128" i="18"/>
  <c r="N194" i="18"/>
  <c r="N118" i="18"/>
  <c r="AG118" i="5" s="1"/>
  <c r="N106" i="18"/>
  <c r="N184" i="18"/>
  <c r="AG184" i="5" s="1"/>
  <c r="N134" i="18"/>
  <c r="N124" i="18"/>
  <c r="AG124" i="5" s="1"/>
  <c r="N116" i="18"/>
  <c r="AG116" i="5" s="1"/>
  <c r="N111" i="18"/>
  <c r="N96" i="18"/>
  <c r="N88" i="18"/>
  <c r="N81" i="18"/>
  <c r="N75" i="18"/>
  <c r="AG75" i="5" s="1"/>
  <c r="N65" i="18"/>
  <c r="AG65" i="5" s="1"/>
  <c r="N52" i="18"/>
  <c r="N186" i="18"/>
  <c r="N95" i="18"/>
  <c r="N58" i="18"/>
  <c r="N38" i="18"/>
  <c r="N31" i="18"/>
  <c r="AG31" i="5" s="1"/>
  <c r="N24" i="18"/>
  <c r="N14" i="18"/>
  <c r="AG14" i="5" s="1"/>
  <c r="N9" i="18"/>
  <c r="N43" i="18"/>
  <c r="N97" i="18"/>
  <c r="N66" i="18"/>
  <c r="AG66" i="5" s="1"/>
  <c r="N54" i="18"/>
  <c r="AG54" i="5" s="1"/>
  <c r="N40" i="18"/>
  <c r="AG40" i="5" s="1"/>
  <c r="N29" i="18"/>
  <c r="AG29" i="5" s="1"/>
  <c r="N21" i="18"/>
  <c r="AG21" i="5" s="1"/>
  <c r="N15" i="18"/>
  <c r="N45" i="18"/>
  <c r="N178" i="18"/>
  <c r="H178" i="18" s="1"/>
  <c r="N169" i="18"/>
  <c r="N153" i="18"/>
  <c r="N147" i="18"/>
  <c r="N187" i="18"/>
  <c r="N179" i="18"/>
  <c r="H179" i="18" s="1"/>
  <c r="N170" i="18"/>
  <c r="N154" i="18"/>
  <c r="N145" i="18"/>
  <c r="N136" i="18"/>
  <c r="N126" i="18"/>
  <c r="AG126" i="5" s="1"/>
  <c r="N191" i="18"/>
  <c r="N113" i="18"/>
  <c r="N103" i="18"/>
  <c r="N143" i="18"/>
  <c r="H143" i="18" s="1"/>
  <c r="N131" i="18"/>
  <c r="N123" i="18"/>
  <c r="N109" i="18"/>
  <c r="N107" i="18"/>
  <c r="N94" i="18"/>
  <c r="N86" i="18"/>
  <c r="N79" i="18"/>
  <c r="AG79" i="5" s="1"/>
  <c r="N60" i="18"/>
  <c r="N50" i="18"/>
  <c r="N144" i="18"/>
  <c r="H144" i="18" s="1"/>
  <c r="N87" i="18"/>
  <c r="N53" i="18"/>
  <c r="N36" i="18"/>
  <c r="AG36" i="5" s="1"/>
  <c r="N30" i="18"/>
  <c r="AG30" i="5" s="1"/>
  <c r="N22" i="18"/>
  <c r="N13" i="18"/>
  <c r="N93" i="18"/>
  <c r="AG93" i="5" s="1"/>
  <c r="N61" i="18"/>
  <c r="N183" i="18"/>
  <c r="N92" i="18"/>
  <c r="N64" i="18"/>
  <c r="AG64" i="5" s="1"/>
  <c r="N49" i="18"/>
  <c r="AG49" i="5" s="1"/>
  <c r="N39" i="18"/>
  <c r="N27" i="18"/>
  <c r="N20" i="18"/>
  <c r="N12" i="18"/>
  <c r="N76" i="18"/>
  <c r="AG76" i="5" s="1"/>
  <c r="N175" i="18"/>
  <c r="N166" i="18"/>
  <c r="N151" i="18"/>
  <c r="N193" i="18"/>
  <c r="N185" i="18"/>
  <c r="N177" i="18"/>
  <c r="AG177" i="5" s="1"/>
  <c r="N168" i="18"/>
  <c r="AG168" i="5" s="1"/>
  <c r="N152" i="18"/>
  <c r="H152" i="18" s="1"/>
  <c r="N192" i="18"/>
  <c r="AG192" i="5" s="1"/>
  <c r="N132" i="18"/>
  <c r="N125" i="18"/>
  <c r="N139" i="18"/>
  <c r="AG139" i="5" s="1"/>
  <c r="N110" i="18"/>
  <c r="N101" i="18"/>
  <c r="AG101" i="5" s="1"/>
  <c r="N140" i="18"/>
  <c r="H140" i="18" s="1"/>
  <c r="N130" i="18"/>
  <c r="N121" i="18"/>
  <c r="N102" i="18"/>
  <c r="N105" i="18"/>
  <c r="AG105" i="5" s="1"/>
  <c r="N91" i="18"/>
  <c r="N84" i="18"/>
  <c r="N78" i="18"/>
  <c r="N68" i="18"/>
  <c r="AG68" i="5" s="1"/>
  <c r="N57" i="18"/>
  <c r="N46" i="18"/>
  <c r="N142" i="18"/>
  <c r="AG142" i="5" s="1"/>
  <c r="N74" i="18"/>
  <c r="AG74" i="5" s="1"/>
  <c r="N48" i="18"/>
  <c r="N35" i="18"/>
  <c r="N28" i="18"/>
  <c r="AG28" i="5" s="1"/>
  <c r="N18" i="18"/>
  <c r="N11" i="18"/>
  <c r="N90" i="18"/>
  <c r="N56" i="18"/>
  <c r="N117" i="18"/>
  <c r="N83" i="18"/>
  <c r="N62" i="18"/>
  <c r="N47" i="18"/>
  <c r="N37" i="18"/>
  <c r="N25" i="18"/>
  <c r="N19" i="18"/>
  <c r="N104" i="18"/>
  <c r="N150" i="18"/>
  <c r="N167" i="18"/>
  <c r="N122" i="18"/>
  <c r="N138" i="18"/>
  <c r="N98" i="18"/>
  <c r="N67" i="18"/>
  <c r="AG67" i="5" s="1"/>
  <c r="N63" i="18"/>
  <c r="N16" i="18"/>
  <c r="N112" i="18"/>
  <c r="N33" i="18"/>
  <c r="N176" i="18"/>
  <c r="N137" i="18"/>
  <c r="N51" i="18"/>
  <c r="N190" i="18"/>
  <c r="N149" i="18"/>
  <c r="N133" i="18"/>
  <c r="N127" i="18"/>
  <c r="N89" i="18"/>
  <c r="AG89" i="5" s="1"/>
  <c r="N55" i="18"/>
  <c r="N41" i="18"/>
  <c r="N10" i="18"/>
  <c r="N69" i="18"/>
  <c r="AG69" i="5" s="1"/>
  <c r="N23" i="18"/>
  <c r="N129" i="18"/>
  <c r="N77" i="18"/>
  <c r="AG77" i="5" s="1"/>
  <c r="N26" i="18"/>
  <c r="N85" i="18"/>
  <c r="N172" i="18"/>
  <c r="N173" i="18"/>
  <c r="N189" i="18"/>
  <c r="N108" i="18"/>
  <c r="N119" i="18"/>
  <c r="N82" i="18"/>
  <c r="AG82" i="5" s="1"/>
  <c r="N44" i="18"/>
  <c r="N34" i="18"/>
  <c r="AG34" i="5" s="1"/>
  <c r="N80" i="18"/>
  <c r="N59" i="18"/>
  <c r="AG59" i="5" s="1"/>
  <c r="N17" i="18"/>
  <c r="N157" i="18"/>
  <c r="N100" i="18"/>
  <c r="N135" i="18"/>
  <c r="N42" i="18"/>
  <c r="G51" i="18"/>
  <c r="J371" i="8"/>
  <c r="G91" i="18"/>
  <c r="O231" i="9"/>
  <c r="O230" i="9" s="1"/>
  <c r="O46" i="11"/>
  <c r="J284" i="8"/>
  <c r="G29" i="18"/>
  <c r="O212" i="8"/>
  <c r="O211" i="8" s="1"/>
  <c r="J8" i="9"/>
  <c r="J45" i="9"/>
  <c r="J44" i="9" s="1"/>
  <c r="J212" i="9"/>
  <c r="J211" i="9" s="1"/>
  <c r="G133" i="18"/>
  <c r="J142" i="13"/>
  <c r="J141" i="13" s="1"/>
  <c r="J270" i="13"/>
  <c r="J269" i="13" s="1"/>
  <c r="J158" i="8"/>
  <c r="J157" i="8" s="1"/>
  <c r="G23" i="18"/>
  <c r="J417" i="8"/>
  <c r="G99" i="18"/>
  <c r="J7" i="13"/>
  <c r="J6" i="13" s="1"/>
  <c r="J99" i="8"/>
  <c r="J344" i="8"/>
  <c r="J32" i="8"/>
  <c r="F33" i="8" s="1"/>
  <c r="V13" i="5" s="1"/>
  <c r="G52" i="18"/>
  <c r="J380" i="8"/>
  <c r="O193" i="9"/>
  <c r="O192" i="9" s="1"/>
  <c r="G127" i="18"/>
  <c r="O380" i="9"/>
  <c r="O379" i="9" s="1"/>
  <c r="J169" i="9"/>
  <c r="F170" i="9" s="1"/>
  <c r="J231" i="9"/>
  <c r="J230" i="9" s="1"/>
  <c r="G90" i="18"/>
  <c r="J17" i="13"/>
  <c r="J16" i="13" s="1"/>
  <c r="O371" i="9"/>
  <c r="O370" i="9" s="1"/>
  <c r="J123" i="14"/>
  <c r="J122" i="14" s="1"/>
  <c r="J21" i="14"/>
  <c r="J20" i="14" s="1"/>
  <c r="E50" i="16"/>
  <c r="E57" i="17"/>
  <c r="J294" i="8"/>
  <c r="G41" i="18"/>
  <c r="J266" i="8"/>
  <c r="G58" i="18"/>
  <c r="J426" i="8"/>
  <c r="J350" i="9"/>
  <c r="O436" i="8"/>
  <c r="O435" i="8" s="1"/>
  <c r="G194" i="18"/>
  <c r="J233" i="14"/>
  <c r="J221" i="8"/>
  <c r="J116" i="9"/>
  <c r="F117" i="9" s="1"/>
  <c r="J59" i="13"/>
  <c r="J58" i="13" s="1"/>
  <c r="G46" i="18"/>
  <c r="J334" i="8"/>
  <c r="J167" i="8"/>
  <c r="G128" i="18"/>
  <c r="D7" i="18"/>
  <c r="AE6" i="5" s="1"/>
  <c r="AG6" i="5"/>
  <c r="J64" i="14"/>
  <c r="J63" i="14" s="1"/>
  <c r="J399" i="8"/>
  <c r="J326" i="8"/>
  <c r="G132" i="18"/>
  <c r="J84" i="13"/>
  <c r="J83" i="13" s="1"/>
  <c r="AI7" i="5"/>
  <c r="G33" i="18"/>
  <c r="J255" i="8"/>
  <c r="J254" i="8" s="1"/>
  <c r="J380" i="9"/>
  <c r="J379" i="9" s="1"/>
  <c r="J6" i="14"/>
  <c r="J67" i="8"/>
  <c r="G31" i="18"/>
  <c r="J238" i="8"/>
  <c r="J55" i="10"/>
  <c r="J83" i="8"/>
  <c r="J371" i="9"/>
  <c r="J370" i="9" s="1"/>
  <c r="J303" i="8"/>
  <c r="G27" i="18"/>
  <c r="G130" i="18"/>
  <c r="O261" i="13"/>
  <c r="O260" i="13" s="1"/>
  <c r="O389" i="9"/>
  <c r="O388" i="9" s="1"/>
  <c r="J227" i="13"/>
  <c r="J226" i="13" s="1"/>
  <c r="J261" i="13"/>
  <c r="J260" i="13" s="1"/>
  <c r="J312" i="8"/>
  <c r="J311" i="8" s="1"/>
  <c r="O221" i="9"/>
  <c r="O220" i="9" s="1"/>
  <c r="G134" i="18"/>
  <c r="J361" i="9"/>
  <c r="O17" i="13"/>
  <c r="O16" i="13" s="1"/>
  <c r="J204" i="14"/>
  <c r="O255" i="8"/>
  <c r="O254" i="8" s="1"/>
  <c r="G34" i="18"/>
  <c r="J203" i="9"/>
  <c r="J202" i="9" s="1"/>
  <c r="G53" i="18"/>
  <c r="J389" i="8"/>
  <c r="J341" i="9"/>
  <c r="J311" i="9"/>
  <c r="J310" i="9" s="1"/>
  <c r="J33" i="10"/>
  <c r="L94" i="6"/>
  <c r="E15" i="16" s="1"/>
  <c r="O94" i="6"/>
  <c r="D15" i="16" s="1"/>
  <c r="O116" i="6" l="1"/>
  <c r="O135" i="6" s="1"/>
  <c r="D46" i="16" s="1"/>
  <c r="U40" i="21" s="1"/>
  <c r="Y40" i="21" s="1"/>
  <c r="W31" i="20"/>
  <c r="X31" i="20" s="1"/>
  <c r="AY10" i="5"/>
  <c r="AW10" i="5" s="1"/>
  <c r="AS10" i="5" s="1"/>
  <c r="L97" i="6"/>
  <c r="E18" i="16" s="1"/>
  <c r="L98" i="6"/>
  <c r="E19" i="16" s="1"/>
  <c r="W42" i="20"/>
  <c r="J41" i="20" s="1"/>
  <c r="J74" i="20" s="1"/>
  <c r="X42" i="20"/>
  <c r="W32" i="20"/>
  <c r="X32" i="20" s="1"/>
  <c r="W29" i="20"/>
  <c r="X29" i="20"/>
  <c r="AY78" i="5"/>
  <c r="AW78" i="5" s="1"/>
  <c r="AS78" i="5" s="1"/>
  <c r="AG161" i="5"/>
  <c r="AY113" i="5"/>
  <c r="AW113" i="5" s="1"/>
  <c r="AS113" i="5" s="1"/>
  <c r="AG159" i="5"/>
  <c r="AG164" i="5"/>
  <c r="O97" i="6"/>
  <c r="D18" i="16" s="1"/>
  <c r="O98" i="6"/>
  <c r="D19" i="16" s="1"/>
  <c r="AG160" i="5"/>
  <c r="L96" i="6"/>
  <c r="E17" i="16" s="1"/>
  <c r="AG162" i="5"/>
  <c r="AG163" i="5"/>
  <c r="D162" i="18"/>
  <c r="D159" i="18"/>
  <c r="D163" i="18"/>
  <c r="D161" i="18"/>
  <c r="D160" i="18"/>
  <c r="D164" i="18"/>
  <c r="J158" i="18"/>
  <c r="AY48" i="5"/>
  <c r="AW48" i="5" s="1"/>
  <c r="AS48" i="5" s="1"/>
  <c r="AY174" i="5"/>
  <c r="AW174" i="5" s="1"/>
  <c r="AS174" i="5" s="1"/>
  <c r="AY63" i="5"/>
  <c r="AW63" i="5" s="1"/>
  <c r="AS63" i="5" s="1"/>
  <c r="AY166" i="5"/>
  <c r="AW166" i="5" s="1"/>
  <c r="AS166" i="5" s="1"/>
  <c r="AY151" i="5"/>
  <c r="AW151" i="5" s="1"/>
  <c r="AS151" i="5" s="1"/>
  <c r="AY117" i="5"/>
  <c r="AW117" i="5" s="1"/>
  <c r="AS117" i="5" s="1"/>
  <c r="AY138" i="5"/>
  <c r="AW138" i="5" s="1"/>
  <c r="AS138" i="5" s="1"/>
  <c r="AY35" i="5"/>
  <c r="AW35" i="5" s="1"/>
  <c r="AS35" i="5" s="1"/>
  <c r="AY100" i="5"/>
  <c r="AW100" i="5" s="1"/>
  <c r="AS100" i="5" s="1"/>
  <c r="AY62" i="5"/>
  <c r="AY146" i="5"/>
  <c r="AW146" i="5" s="1"/>
  <c r="AS146" i="5" s="1"/>
  <c r="AY116" i="5"/>
  <c r="AW116" i="5" s="1"/>
  <c r="AS116" i="5" s="1"/>
  <c r="AY173" i="5"/>
  <c r="AY183" i="5"/>
  <c r="AW183" i="5" s="1"/>
  <c r="AS183" i="5" s="1"/>
  <c r="AO7" i="5"/>
  <c r="AY20" i="5"/>
  <c r="AW20" i="5" s="1"/>
  <c r="AS20" i="5" s="1"/>
  <c r="AY129" i="5"/>
  <c r="AY124" i="5"/>
  <c r="AW124" i="5" s="1"/>
  <c r="AS124" i="5" s="1"/>
  <c r="AY123" i="5"/>
  <c r="O54" i="9"/>
  <c r="J53" i="9" s="1"/>
  <c r="H70" i="18"/>
  <c r="AG70" i="5"/>
  <c r="H71" i="18"/>
  <c r="AG71" i="5"/>
  <c r="H115" i="18"/>
  <c r="J114" i="18" s="1"/>
  <c r="E115" i="18" s="1"/>
  <c r="AB115" i="5" s="1"/>
  <c r="AG115" i="5"/>
  <c r="AG114" i="5" s="1"/>
  <c r="H73" i="18"/>
  <c r="AG73" i="5"/>
  <c r="AG63" i="5"/>
  <c r="AG183" i="5"/>
  <c r="AG48" i="5"/>
  <c r="AG138" i="5"/>
  <c r="AG78" i="5"/>
  <c r="AG32" i="5"/>
  <c r="AG20" i="5" s="1"/>
  <c r="AG33" i="5"/>
  <c r="I89" i="18"/>
  <c r="D90" i="18" s="1"/>
  <c r="Z90" i="5" s="1"/>
  <c r="I32" i="18"/>
  <c r="F32" i="11"/>
  <c r="F30" i="11"/>
  <c r="F33" i="11"/>
  <c r="V124" i="5"/>
  <c r="Y124" i="5" s="1"/>
  <c r="AC124" i="5" s="1"/>
  <c r="F29" i="11"/>
  <c r="F31" i="11"/>
  <c r="T40" i="4"/>
  <c r="I15" i="14"/>
  <c r="K126" i="18"/>
  <c r="G126" i="18" s="1"/>
  <c r="I124" i="18" s="1"/>
  <c r="J139" i="18"/>
  <c r="E141" i="18" s="1"/>
  <c r="O95" i="6"/>
  <c r="D16" i="16" s="1"/>
  <c r="F18" i="11"/>
  <c r="F19" i="11"/>
  <c r="J6" i="11"/>
  <c r="F22" i="11"/>
  <c r="V123" i="5"/>
  <c r="AW123" i="5" s="1"/>
  <c r="F20" i="11"/>
  <c r="F21" i="11"/>
  <c r="AG11" i="5"/>
  <c r="O7" i="8"/>
  <c r="J6" i="8" s="1"/>
  <c r="J99" i="11"/>
  <c r="AG165" i="5"/>
  <c r="AG158" i="5"/>
  <c r="I129" i="18"/>
  <c r="D131" i="18" s="1"/>
  <c r="Z131" i="5" s="1"/>
  <c r="P131" i="5" s="1"/>
  <c r="I44" i="18"/>
  <c r="D46" i="18" s="1"/>
  <c r="I126" i="18"/>
  <c r="D128" i="18" s="1"/>
  <c r="J142" i="18"/>
  <c r="F120" i="9"/>
  <c r="J115" i="9"/>
  <c r="V76" i="5"/>
  <c r="F119" i="9"/>
  <c r="F121" i="9"/>
  <c r="F122" i="9"/>
  <c r="F118" i="9"/>
  <c r="H34" i="18"/>
  <c r="H85" i="18"/>
  <c r="AG85" i="5"/>
  <c r="AG149" i="5"/>
  <c r="H149" i="18"/>
  <c r="AG176" i="5"/>
  <c r="H176" i="18"/>
  <c r="H122" i="18"/>
  <c r="AG122" i="5"/>
  <c r="H62" i="18"/>
  <c r="AG62" i="5"/>
  <c r="H121" i="18"/>
  <c r="AG121" i="5"/>
  <c r="J203" i="8"/>
  <c r="J202" i="8" s="1"/>
  <c r="H27" i="18"/>
  <c r="AG27" i="5"/>
  <c r="O32" i="8"/>
  <c r="K33" i="8" s="1"/>
  <c r="W13" i="5" s="1"/>
  <c r="AG13" i="5"/>
  <c r="H60" i="18"/>
  <c r="AG60" i="5"/>
  <c r="AG131" i="5"/>
  <c r="H131" i="18"/>
  <c r="H154" i="18"/>
  <c r="AG154" i="5"/>
  <c r="O167" i="8"/>
  <c r="J166" i="8" s="1"/>
  <c r="H24" i="18"/>
  <c r="AG24" i="5"/>
  <c r="H95" i="18"/>
  <c r="AG95" i="5"/>
  <c r="F172" i="9"/>
  <c r="F174" i="9"/>
  <c r="F171" i="9"/>
  <c r="F175" i="9"/>
  <c r="F173" i="9"/>
  <c r="V77" i="5"/>
  <c r="Y77" i="5" s="1"/>
  <c r="O77" i="5" s="1"/>
  <c r="J168" i="9"/>
  <c r="F36" i="8"/>
  <c r="F35" i="8"/>
  <c r="F34" i="8"/>
  <c r="F38" i="8"/>
  <c r="F37" i="8"/>
  <c r="O303" i="8"/>
  <c r="J302" i="8" s="1"/>
  <c r="H42" i="18"/>
  <c r="AG42" i="5"/>
  <c r="AG17" i="5"/>
  <c r="H17" i="18"/>
  <c r="O99" i="8"/>
  <c r="J98" i="8" s="1"/>
  <c r="O326" i="8"/>
  <c r="J325" i="8" s="1"/>
  <c r="AG44" i="5"/>
  <c r="H44" i="18"/>
  <c r="AG189" i="5"/>
  <c r="H189" i="18"/>
  <c r="H26" i="18"/>
  <c r="O194" i="8"/>
  <c r="J193" i="8" s="1"/>
  <c r="AG26" i="5"/>
  <c r="H69" i="18"/>
  <c r="O36" i="9"/>
  <c r="J35" i="9" s="1"/>
  <c r="AG190" i="5"/>
  <c r="H190" i="18"/>
  <c r="H33" i="18"/>
  <c r="H67" i="18"/>
  <c r="H167" i="18"/>
  <c r="AG167" i="5"/>
  <c r="AG166" i="5" s="1"/>
  <c r="H25" i="18"/>
  <c r="AG25" i="5"/>
  <c r="H83" i="18"/>
  <c r="AG83" i="5"/>
  <c r="O417" i="8"/>
  <c r="J416" i="8" s="1"/>
  <c r="AG57" i="5"/>
  <c r="H57" i="18"/>
  <c r="H91" i="18"/>
  <c r="AG91" i="5"/>
  <c r="AG130" i="5"/>
  <c r="H130" i="18"/>
  <c r="AG152" i="5"/>
  <c r="H193" i="18"/>
  <c r="AG193" i="5"/>
  <c r="AG179" i="5"/>
  <c r="H76" i="18"/>
  <c r="H39" i="18"/>
  <c r="O284" i="8"/>
  <c r="J283" i="8" s="1"/>
  <c r="AG39" i="5"/>
  <c r="AG22" i="5"/>
  <c r="H22" i="18"/>
  <c r="O142" i="8"/>
  <c r="J141" i="8" s="1"/>
  <c r="AG87" i="5"/>
  <c r="H87" i="18"/>
  <c r="H107" i="18"/>
  <c r="AG107" i="5"/>
  <c r="AG170" i="5"/>
  <c r="H170" i="18"/>
  <c r="H153" i="18"/>
  <c r="AG153" i="5"/>
  <c r="H15" i="18"/>
  <c r="AG15" i="5"/>
  <c r="O67" i="8"/>
  <c r="J66" i="8" s="1"/>
  <c r="O238" i="8"/>
  <c r="J237" i="8" s="1"/>
  <c r="H31" i="18"/>
  <c r="H186" i="18"/>
  <c r="AG186" i="5"/>
  <c r="H81" i="18"/>
  <c r="AG81" i="5"/>
  <c r="H116" i="18"/>
  <c r="AG106" i="5"/>
  <c r="H106" i="18"/>
  <c r="AG178" i="5"/>
  <c r="H181" i="18"/>
  <c r="J177" i="18" s="1"/>
  <c r="H171" i="18"/>
  <c r="AG171" i="5"/>
  <c r="I131" i="18"/>
  <c r="AG157" i="5"/>
  <c r="H157" i="18"/>
  <c r="H108" i="18"/>
  <c r="AG108" i="5"/>
  <c r="AG55" i="5"/>
  <c r="H55" i="18"/>
  <c r="O399" i="8"/>
  <c r="J398" i="8" s="1"/>
  <c r="O131" i="8"/>
  <c r="J130" i="8" s="1"/>
  <c r="AG19" i="5"/>
  <c r="H19" i="18"/>
  <c r="H90" i="18"/>
  <c r="AG90" i="5"/>
  <c r="H46" i="18"/>
  <c r="O334" i="8"/>
  <c r="AG46" i="5"/>
  <c r="H84" i="18"/>
  <c r="AG84" i="5"/>
  <c r="H110" i="18"/>
  <c r="AG110" i="5"/>
  <c r="H185" i="18"/>
  <c r="AG185" i="5"/>
  <c r="H92" i="18"/>
  <c r="AG92" i="5"/>
  <c r="H53" i="18"/>
  <c r="O389" i="8"/>
  <c r="J388" i="8" s="1"/>
  <c r="AG53" i="5"/>
  <c r="AG94" i="5"/>
  <c r="H94" i="18"/>
  <c r="AG191" i="5"/>
  <c r="H191" i="18"/>
  <c r="AG147" i="5"/>
  <c r="AG146" i="5" s="1"/>
  <c r="H147" i="18"/>
  <c r="H45" i="18"/>
  <c r="J44" i="18" s="1"/>
  <c r="AG45" i="5"/>
  <c r="AG43" i="5"/>
  <c r="H43" i="18"/>
  <c r="H111" i="18"/>
  <c r="AG111" i="5"/>
  <c r="H128" i="18"/>
  <c r="AG128" i="5"/>
  <c r="AG155" i="5"/>
  <c r="H155" i="18"/>
  <c r="C73" i="9"/>
  <c r="F157" i="13"/>
  <c r="F155" i="13"/>
  <c r="F156" i="13"/>
  <c r="F153" i="13"/>
  <c r="F154" i="13"/>
  <c r="AG135" i="5"/>
  <c r="H135" i="18"/>
  <c r="AG173" i="5"/>
  <c r="H173" i="18"/>
  <c r="H77" i="18"/>
  <c r="AG127" i="5"/>
  <c r="H127" i="18"/>
  <c r="O371" i="8"/>
  <c r="J370" i="8" s="1"/>
  <c r="H51" i="18"/>
  <c r="AG51" i="5"/>
  <c r="AG112" i="5"/>
  <c r="H112" i="18"/>
  <c r="H98" i="18"/>
  <c r="AG98" i="5"/>
  <c r="H150" i="18"/>
  <c r="AG150" i="5"/>
  <c r="H37" i="18"/>
  <c r="O266" i="8"/>
  <c r="J265" i="8" s="1"/>
  <c r="AG37" i="5"/>
  <c r="O115" i="8"/>
  <c r="J114" i="8" s="1"/>
  <c r="AG18" i="5"/>
  <c r="H18" i="18"/>
  <c r="H125" i="18"/>
  <c r="AG125" i="5"/>
  <c r="AG12" i="5"/>
  <c r="H12" i="18"/>
  <c r="H61" i="18"/>
  <c r="AG61" i="5"/>
  <c r="O221" i="8"/>
  <c r="J220" i="8" s="1"/>
  <c r="H30" i="18"/>
  <c r="AG109" i="5"/>
  <c r="H109" i="18"/>
  <c r="AG103" i="5"/>
  <c r="H103" i="18"/>
  <c r="O350" i="9"/>
  <c r="J349" i="9" s="1"/>
  <c r="AG136" i="5"/>
  <c r="H136" i="18"/>
  <c r="AG169" i="5"/>
  <c r="H169" i="18"/>
  <c r="H66" i="18"/>
  <c r="O17" i="9"/>
  <c r="J16" i="9" s="1"/>
  <c r="AG9" i="5"/>
  <c r="H9" i="18"/>
  <c r="J275" i="8"/>
  <c r="J274" i="8" s="1"/>
  <c r="AG38" i="5"/>
  <c r="H38" i="18"/>
  <c r="O380" i="8"/>
  <c r="J379" i="8" s="1"/>
  <c r="AG52" i="5"/>
  <c r="H52" i="18"/>
  <c r="H88" i="18"/>
  <c r="AG88" i="5"/>
  <c r="H118" i="18"/>
  <c r="H23" i="18"/>
  <c r="AG23" i="5"/>
  <c r="AG175" i="5"/>
  <c r="H175" i="18"/>
  <c r="F58" i="9"/>
  <c r="V72" i="5"/>
  <c r="F59" i="9"/>
  <c r="F56" i="9"/>
  <c r="F57" i="9"/>
  <c r="F60" i="9"/>
  <c r="H80" i="18"/>
  <c r="AG80" i="5"/>
  <c r="AG119" i="5"/>
  <c r="AG117" i="5" s="1"/>
  <c r="H119" i="18"/>
  <c r="H172" i="18"/>
  <c r="AG172" i="5"/>
  <c r="AG129" i="5"/>
  <c r="H129" i="18"/>
  <c r="AG41" i="5"/>
  <c r="H41" i="18"/>
  <c r="O294" i="8"/>
  <c r="J293" i="8" s="1"/>
  <c r="AG133" i="5"/>
  <c r="H133" i="18"/>
  <c r="AG137" i="5"/>
  <c r="H137" i="18"/>
  <c r="AG16" i="5"/>
  <c r="H16" i="18"/>
  <c r="O83" i="8"/>
  <c r="J82" i="8" s="1"/>
  <c r="H104" i="18"/>
  <c r="O361" i="9"/>
  <c r="J360" i="9" s="1"/>
  <c r="AG104" i="5"/>
  <c r="AG100" i="5" s="1"/>
  <c r="O344" i="8"/>
  <c r="J343" i="8" s="1"/>
  <c r="H47" i="18"/>
  <c r="AG47" i="5"/>
  <c r="AG56" i="5"/>
  <c r="H56" i="18"/>
  <c r="O408" i="8"/>
  <c r="J407" i="8" s="1"/>
  <c r="H28" i="18"/>
  <c r="AG102" i="5"/>
  <c r="H102" i="18"/>
  <c r="O341" i="9"/>
  <c r="J340" i="9" s="1"/>
  <c r="H132" i="18"/>
  <c r="AG132" i="5"/>
  <c r="AG50" i="5"/>
  <c r="H50" i="18"/>
  <c r="O362" i="8"/>
  <c r="J361" i="8" s="1"/>
  <c r="AG86" i="5"/>
  <c r="H86" i="18"/>
  <c r="AG123" i="5"/>
  <c r="H123" i="18"/>
  <c r="H113" i="18"/>
  <c r="AG113" i="5"/>
  <c r="AG145" i="5"/>
  <c r="H145" i="18"/>
  <c r="AG187" i="5"/>
  <c r="H187" i="18"/>
  <c r="H29" i="18"/>
  <c r="H97" i="18"/>
  <c r="AG97" i="5"/>
  <c r="H58" i="18"/>
  <c r="O426" i="8"/>
  <c r="J425" i="8" s="1"/>
  <c r="AG58" i="5"/>
  <c r="H65" i="18"/>
  <c r="O8" i="9"/>
  <c r="J7" i="9" s="1"/>
  <c r="AG96" i="5"/>
  <c r="H96" i="18"/>
  <c r="H134" i="18"/>
  <c r="AG134" i="5"/>
  <c r="H194" i="18"/>
  <c r="AG180" i="5"/>
  <c r="AG194" i="5"/>
  <c r="H156" i="18"/>
  <c r="AG156" i="5"/>
  <c r="J15" i="14" l="1"/>
  <c r="K15" i="14" s="1"/>
  <c r="U40" i="4"/>
  <c r="O136" i="6"/>
  <c r="J23" i="20"/>
  <c r="AG35" i="5"/>
  <c r="J50" i="20"/>
  <c r="J75" i="20" s="1"/>
  <c r="AG174" i="5"/>
  <c r="K55" i="9"/>
  <c r="K57" i="9" s="1"/>
  <c r="E161" i="18"/>
  <c r="E162" i="18"/>
  <c r="E160" i="18"/>
  <c r="E159" i="18"/>
  <c r="E163" i="18"/>
  <c r="E164" i="18"/>
  <c r="S115" i="5"/>
  <c r="AA114" i="5"/>
  <c r="AB114" i="5"/>
  <c r="D92" i="18"/>
  <c r="Z92" i="5" s="1"/>
  <c r="P92" i="5" s="1"/>
  <c r="D91" i="18"/>
  <c r="Z91" i="5" s="1"/>
  <c r="P91" i="5" s="1"/>
  <c r="AG10" i="5"/>
  <c r="AG151" i="5"/>
  <c r="J32" i="18"/>
  <c r="E34" i="18" s="1"/>
  <c r="AB34" i="5" s="1"/>
  <c r="Z159" i="5"/>
  <c r="D33" i="18"/>
  <c r="Z33" i="5" s="1"/>
  <c r="D34" i="18"/>
  <c r="Z162" i="5"/>
  <c r="P162" i="5" s="1"/>
  <c r="AB141" i="5"/>
  <c r="S141" i="5" s="1"/>
  <c r="Z46" i="5"/>
  <c r="P46" i="5" s="1"/>
  <c r="Z128" i="5"/>
  <c r="P128" i="5" s="1"/>
  <c r="Y40" i="4"/>
  <c r="D126" i="18"/>
  <c r="Z126" i="5" s="1"/>
  <c r="P126" i="5" s="1"/>
  <c r="D125" i="18"/>
  <c r="Z125" i="5" s="1"/>
  <c r="P125" i="5" s="1"/>
  <c r="E140" i="18"/>
  <c r="AS123" i="5"/>
  <c r="D130" i="18"/>
  <c r="Z130" i="5" s="1"/>
  <c r="P130" i="5" s="1"/>
  <c r="D45" i="18"/>
  <c r="D127" i="18"/>
  <c r="J79" i="18"/>
  <c r="E80" i="18" s="1"/>
  <c r="J40" i="18"/>
  <c r="E42" i="18" s="1"/>
  <c r="J89" i="18"/>
  <c r="J49" i="18"/>
  <c r="E50" i="18" s="1"/>
  <c r="J101" i="18"/>
  <c r="J168" i="18"/>
  <c r="J8" i="18"/>
  <c r="E9" i="18" s="1"/>
  <c r="J129" i="18"/>
  <c r="J82" i="18"/>
  <c r="E88" i="18" s="1"/>
  <c r="E178" i="18"/>
  <c r="AB178" i="5" s="1"/>
  <c r="E181" i="18"/>
  <c r="E179" i="18"/>
  <c r="AB179" i="5" s="1"/>
  <c r="E180" i="18"/>
  <c r="AB180" i="5" s="1"/>
  <c r="J64" i="18"/>
  <c r="E66" i="18" s="1"/>
  <c r="J36" i="18"/>
  <c r="J54" i="18"/>
  <c r="E57" i="18" s="1"/>
  <c r="J105" i="18"/>
  <c r="J192" i="18"/>
  <c r="E193" i="18" s="1"/>
  <c r="AB193" i="5" s="1"/>
  <c r="J188" i="18"/>
  <c r="E190" i="18" s="1"/>
  <c r="AB190" i="5" s="1"/>
  <c r="J148" i="18"/>
  <c r="J14" i="18"/>
  <c r="J21" i="18"/>
  <c r="J117" i="18"/>
  <c r="J126" i="18"/>
  <c r="E128" i="18" s="1"/>
  <c r="J93" i="18"/>
  <c r="E98" i="18" s="1"/>
  <c r="J184" i="18"/>
  <c r="E187" i="18" s="1"/>
  <c r="J121" i="18"/>
  <c r="E122" i="18" s="1"/>
  <c r="E143" i="18"/>
  <c r="AB143" i="5" s="1"/>
  <c r="E144" i="18"/>
  <c r="K13" i="18"/>
  <c r="G13" i="18" s="1"/>
  <c r="I11" i="18" s="1"/>
  <c r="D13" i="18" s="1"/>
  <c r="K38" i="8"/>
  <c r="K35" i="8"/>
  <c r="K36" i="8"/>
  <c r="K34" i="8"/>
  <c r="K37" i="8"/>
  <c r="F75" i="9"/>
  <c r="J71" i="9"/>
  <c r="F78" i="9"/>
  <c r="F76" i="9"/>
  <c r="F77" i="9"/>
  <c r="F74" i="9"/>
  <c r="V75" i="5"/>
  <c r="J131" i="18"/>
  <c r="J31" i="8"/>
  <c r="K77" i="18"/>
  <c r="G77" i="18" s="1"/>
  <c r="J59" i="18"/>
  <c r="D133" i="18"/>
  <c r="Z133" i="5" s="1"/>
  <c r="P133" i="5" s="1"/>
  <c r="D136" i="18"/>
  <c r="Z136" i="5" s="1"/>
  <c r="P136" i="5" s="1"/>
  <c r="D134" i="18"/>
  <c r="Z134" i="5" s="1"/>
  <c r="P134" i="5" s="1"/>
  <c r="D132" i="18"/>
  <c r="Z132" i="5" s="1"/>
  <c r="P132" i="5" s="1"/>
  <c r="D135" i="18"/>
  <c r="Z135" i="5" s="1"/>
  <c r="P135" i="5" s="1"/>
  <c r="E45" i="18"/>
  <c r="E46" i="18"/>
  <c r="K60" i="9" l="1"/>
  <c r="K56" i="9"/>
  <c r="W72" i="5"/>
  <c r="AA72" i="5" s="1"/>
  <c r="R72" i="5" s="1"/>
  <c r="K58" i="9"/>
  <c r="K59" i="9"/>
  <c r="Q114" i="5"/>
  <c r="R114" i="5"/>
  <c r="L114" i="18" s="1"/>
  <c r="H114" i="18" s="1"/>
  <c r="Z34" i="5"/>
  <c r="P34" i="5" s="1"/>
  <c r="E33" i="18"/>
  <c r="AB33" i="5" s="1"/>
  <c r="AA32" i="5" s="1"/>
  <c r="R32" i="5" s="1"/>
  <c r="L32" i="18" s="1"/>
  <c r="H32" i="18" s="1"/>
  <c r="AB159" i="5"/>
  <c r="E92" i="18"/>
  <c r="E91" i="18"/>
  <c r="E90" i="18"/>
  <c r="AB90" i="5" s="1"/>
  <c r="Z163" i="5"/>
  <c r="P163" i="5" s="1"/>
  <c r="Z160" i="5"/>
  <c r="P160" i="5" s="1"/>
  <c r="Z161" i="5"/>
  <c r="P161" i="5" s="1"/>
  <c r="Z164" i="5"/>
  <c r="P164" i="5" s="1"/>
  <c r="P33" i="5"/>
  <c r="P90" i="5"/>
  <c r="Y89" i="5"/>
  <c r="O89" i="5" s="1"/>
  <c r="P159" i="5"/>
  <c r="S34" i="5"/>
  <c r="AB187" i="5"/>
  <c r="S187" i="5" s="1"/>
  <c r="AB144" i="5"/>
  <c r="S144" i="5" s="1"/>
  <c r="AB98" i="5"/>
  <c r="S98" i="5" s="1"/>
  <c r="AB88" i="5"/>
  <c r="S88" i="5" s="1"/>
  <c r="AB80" i="5"/>
  <c r="S80" i="5" s="1"/>
  <c r="E95" i="18"/>
  <c r="AB66" i="5"/>
  <c r="S66" i="5" s="1"/>
  <c r="S178" i="5"/>
  <c r="AB181" i="5"/>
  <c r="S181" i="5" s="1"/>
  <c r="AB140" i="5"/>
  <c r="S140" i="5" s="1"/>
  <c r="AB50" i="5"/>
  <c r="S50" i="5" s="1"/>
  <c r="Z127" i="5"/>
  <c r="P127" i="5" s="1"/>
  <c r="Z45" i="5"/>
  <c r="P45" i="5" s="1"/>
  <c r="AB46" i="5"/>
  <c r="S46" i="5" s="1"/>
  <c r="AB42" i="5"/>
  <c r="S42" i="5" s="1"/>
  <c r="AB45" i="5"/>
  <c r="S45" i="5" s="1"/>
  <c r="AB57" i="5"/>
  <c r="S57" i="5" s="1"/>
  <c r="AB128" i="5"/>
  <c r="S128" i="5" s="1"/>
  <c r="E43" i="18"/>
  <c r="AB43" i="5" s="1"/>
  <c r="S43" i="5" s="1"/>
  <c r="E112" i="18"/>
  <c r="E81" i="18"/>
  <c r="E56" i="18"/>
  <c r="E41" i="18"/>
  <c r="AB41" i="5" s="1"/>
  <c r="S41" i="5" s="1"/>
  <c r="E87" i="18"/>
  <c r="E194" i="18"/>
  <c r="E62" i="18"/>
  <c r="E97" i="18"/>
  <c r="E58" i="18"/>
  <c r="AB58" i="5" s="1"/>
  <c r="S58" i="5" s="1"/>
  <c r="E55" i="18"/>
  <c r="E189" i="18"/>
  <c r="E53" i="18"/>
  <c r="AB53" i="5" s="1"/>
  <c r="S53" i="5" s="1"/>
  <c r="E51" i="18"/>
  <c r="E169" i="18"/>
  <c r="AB169" i="5" s="1"/>
  <c r="E171" i="18"/>
  <c r="E170" i="18"/>
  <c r="E52" i="18"/>
  <c r="AB52" i="5" s="1"/>
  <c r="S52" i="5" s="1"/>
  <c r="E103" i="18"/>
  <c r="E102" i="18"/>
  <c r="AB102" i="5" s="1"/>
  <c r="E131" i="18"/>
  <c r="E130" i="18"/>
  <c r="E84" i="18"/>
  <c r="E83" i="18"/>
  <c r="AB83" i="5" s="1"/>
  <c r="E86" i="18"/>
  <c r="E85" i="18"/>
  <c r="E191" i="18"/>
  <c r="E127" i="18"/>
  <c r="AB127" i="5" s="1"/>
  <c r="S143" i="5"/>
  <c r="E186" i="18"/>
  <c r="E185" i="18"/>
  <c r="AB185" i="5" s="1"/>
  <c r="E119" i="18"/>
  <c r="E118" i="18"/>
  <c r="AB118" i="5" s="1"/>
  <c r="E65" i="18"/>
  <c r="AB65" i="5" s="1"/>
  <c r="E67" i="18"/>
  <c r="E38" i="18"/>
  <c r="E39" i="18"/>
  <c r="E37" i="18"/>
  <c r="AB37" i="5" s="1"/>
  <c r="E145" i="18"/>
  <c r="E172" i="18"/>
  <c r="E94" i="18"/>
  <c r="AB94" i="5" s="1"/>
  <c r="E96" i="18"/>
  <c r="E27" i="18"/>
  <c r="E26" i="18"/>
  <c r="E25" i="18"/>
  <c r="E24" i="18"/>
  <c r="E29" i="18"/>
  <c r="E28" i="18"/>
  <c r="E23" i="18"/>
  <c r="E22" i="18"/>
  <c r="AB22" i="5" s="1"/>
  <c r="E110" i="18"/>
  <c r="E111" i="18"/>
  <c r="E106" i="18"/>
  <c r="AB106" i="5" s="1"/>
  <c r="E107" i="18"/>
  <c r="E109" i="18"/>
  <c r="E108" i="18"/>
  <c r="E150" i="18"/>
  <c r="E149" i="18"/>
  <c r="AB149" i="5" s="1"/>
  <c r="E16" i="18"/>
  <c r="E17" i="18"/>
  <c r="E18" i="18"/>
  <c r="E15" i="18"/>
  <c r="AB15" i="5" s="1"/>
  <c r="E132" i="18"/>
  <c r="AB132" i="5" s="1"/>
  <c r="S132" i="5" s="1"/>
  <c r="E135" i="18"/>
  <c r="AB135" i="5" s="1"/>
  <c r="S135" i="5" s="1"/>
  <c r="E134" i="18"/>
  <c r="AB134" i="5" s="1"/>
  <c r="S134" i="5" s="1"/>
  <c r="E133" i="18"/>
  <c r="AB133" i="5" s="1"/>
  <c r="S133" i="5" s="1"/>
  <c r="E136" i="18"/>
  <c r="AB136" i="5" s="1"/>
  <c r="S136" i="5" s="1"/>
  <c r="E61" i="18"/>
  <c r="E60" i="18"/>
  <c r="AB60" i="5" s="1"/>
  <c r="L13" i="18"/>
  <c r="H13" i="18" s="1"/>
  <c r="J11" i="18" s="1"/>
  <c r="E12" i="18" s="1"/>
  <c r="D12" i="18"/>
  <c r="Z12" i="5" s="1"/>
  <c r="F62" i="11"/>
  <c r="Y32" i="5" l="1"/>
  <c r="O32" i="5" s="1"/>
  <c r="K32" i="18" s="1"/>
  <c r="G32" i="18" s="1"/>
  <c r="AB51" i="5"/>
  <c r="S51" i="5" s="1"/>
  <c r="AB91" i="5"/>
  <c r="S91" i="5" s="1"/>
  <c r="AB92" i="5"/>
  <c r="S92" i="5" s="1"/>
  <c r="Y158" i="5"/>
  <c r="O158" i="5" s="1"/>
  <c r="K158" i="18" s="1"/>
  <c r="G158" i="18" s="1"/>
  <c r="L72" i="18"/>
  <c r="H72" i="18" s="1"/>
  <c r="J68" i="18" s="1"/>
  <c r="AB162" i="5"/>
  <c r="S162" i="5" s="1"/>
  <c r="AB161" i="5"/>
  <c r="S161" i="5" s="1"/>
  <c r="AB164" i="5"/>
  <c r="S164" i="5" s="1"/>
  <c r="AB160" i="5"/>
  <c r="S160" i="5" s="1"/>
  <c r="AB163" i="5"/>
  <c r="S163" i="5" s="1"/>
  <c r="AA142" i="5"/>
  <c r="Z13" i="5"/>
  <c r="P13" i="5" s="1"/>
  <c r="K89" i="18"/>
  <c r="G89" i="18" s="1"/>
  <c r="N89" i="5"/>
  <c r="S33" i="5"/>
  <c r="AA139" i="5"/>
  <c r="R139" i="5" s="1"/>
  <c r="AB107" i="5"/>
  <c r="S107" i="5" s="1"/>
  <c r="AB38" i="5"/>
  <c r="S38" i="5" s="1"/>
  <c r="AB186" i="5"/>
  <c r="S186" i="5" s="1"/>
  <c r="AB103" i="5"/>
  <c r="S103" i="5" s="1"/>
  <c r="AB18" i="5"/>
  <c r="S18" i="5" s="1"/>
  <c r="AB150" i="5"/>
  <c r="S150" i="5" s="1"/>
  <c r="AB191" i="5"/>
  <c r="S191" i="5" s="1"/>
  <c r="AB87" i="5"/>
  <c r="S87" i="5" s="1"/>
  <c r="AB17" i="5"/>
  <c r="S17" i="5" s="1"/>
  <c r="AB108" i="5"/>
  <c r="S108" i="5" s="1"/>
  <c r="AB111" i="5"/>
  <c r="S111" i="5" s="1"/>
  <c r="AB96" i="5"/>
  <c r="S96" i="5" s="1"/>
  <c r="AB119" i="5"/>
  <c r="S119" i="5" s="1"/>
  <c r="AB170" i="5"/>
  <c r="AB97" i="5"/>
  <c r="S97" i="5" s="1"/>
  <c r="AB86" i="5"/>
  <c r="S86" i="5" s="1"/>
  <c r="AB81" i="5"/>
  <c r="S81" i="5" s="1"/>
  <c r="AB16" i="5"/>
  <c r="S16" i="5" s="1"/>
  <c r="AB109" i="5"/>
  <c r="S109" i="5" s="1"/>
  <c r="AB110" i="5"/>
  <c r="S110" i="5" s="1"/>
  <c r="AB39" i="5"/>
  <c r="S39" i="5" s="1"/>
  <c r="AB67" i="5"/>
  <c r="S67" i="5" s="1"/>
  <c r="AB85" i="5"/>
  <c r="AB84" i="5"/>
  <c r="S84" i="5" s="1"/>
  <c r="AB171" i="5"/>
  <c r="S171" i="5" s="1"/>
  <c r="AB189" i="5"/>
  <c r="S189" i="5" s="1"/>
  <c r="AB194" i="5"/>
  <c r="S194" i="5" s="1"/>
  <c r="AB95" i="5"/>
  <c r="S95" i="5" s="1"/>
  <c r="AB24" i="5"/>
  <c r="S24" i="5" s="1"/>
  <c r="AB55" i="5"/>
  <c r="AB28" i="5"/>
  <c r="S28" i="5" s="1"/>
  <c r="AB26" i="5"/>
  <c r="S26" i="5" s="1"/>
  <c r="AB23" i="5"/>
  <c r="AB25" i="5"/>
  <c r="S25" i="5" s="1"/>
  <c r="AB29" i="5"/>
  <c r="S29" i="5" s="1"/>
  <c r="AB27" i="5"/>
  <c r="S27" i="5" s="1"/>
  <c r="AB56" i="5"/>
  <c r="S56" i="5" s="1"/>
  <c r="AB61" i="5"/>
  <c r="S61" i="5" s="1"/>
  <c r="AA40" i="5"/>
  <c r="R40" i="5" s="1"/>
  <c r="S127" i="5"/>
  <c r="S159" i="5"/>
  <c r="S180" i="5"/>
  <c r="AA49" i="5"/>
  <c r="L126" i="18"/>
  <c r="H126" i="18" s="1"/>
  <c r="J124" i="18" s="1"/>
  <c r="E125" i="18" s="1"/>
  <c r="AB125" i="5" s="1"/>
  <c r="S169" i="5"/>
  <c r="S102" i="5"/>
  <c r="S83" i="5"/>
  <c r="S90" i="5"/>
  <c r="S185" i="5"/>
  <c r="S179" i="5"/>
  <c r="S22" i="5"/>
  <c r="S65" i="5"/>
  <c r="S15" i="5"/>
  <c r="S106" i="5"/>
  <c r="S149" i="5"/>
  <c r="S94" i="5"/>
  <c r="S37" i="5"/>
  <c r="S118" i="5"/>
  <c r="E13" i="18"/>
  <c r="AB13" i="5" s="1"/>
  <c r="S13" i="5" s="1"/>
  <c r="AB12" i="5"/>
  <c r="S193" i="5"/>
  <c r="S60" i="5"/>
  <c r="P12" i="5"/>
  <c r="AA168" i="5" l="1"/>
  <c r="AA89" i="5"/>
  <c r="R89" i="5" s="1"/>
  <c r="AA184" i="5"/>
  <c r="R184" i="5" s="1"/>
  <c r="AB117" i="5"/>
  <c r="R49" i="5"/>
  <c r="L49" i="18" s="1"/>
  <c r="H49" i="18" s="1"/>
  <c r="AA148" i="5"/>
  <c r="R142" i="5"/>
  <c r="L142" i="18" s="1"/>
  <c r="H142" i="18" s="1"/>
  <c r="N158" i="5"/>
  <c r="E69" i="18"/>
  <c r="AB69" i="5" s="1"/>
  <c r="S69" i="5" s="1"/>
  <c r="E73" i="18"/>
  <c r="AB73" i="5" s="1"/>
  <c r="E70" i="18"/>
  <c r="AB70" i="5" s="1"/>
  <c r="E71" i="18"/>
  <c r="AB71" i="5" s="1"/>
  <c r="E72" i="18"/>
  <c r="AB72" i="5" s="1"/>
  <c r="S72" i="5" s="1"/>
  <c r="AA158" i="5"/>
  <c r="R158" i="5" s="1"/>
  <c r="L158" i="18" s="1"/>
  <c r="H158" i="18" s="1"/>
  <c r="Q142" i="5"/>
  <c r="AA21" i="5"/>
  <c r="AA59" i="5"/>
  <c r="R59" i="5" s="1"/>
  <c r="AA192" i="5"/>
  <c r="AA188" i="5"/>
  <c r="AA101" i="5"/>
  <c r="AA93" i="5"/>
  <c r="R93" i="5" s="1"/>
  <c r="AA14" i="5"/>
  <c r="AA79" i="5"/>
  <c r="AA82" i="5"/>
  <c r="R82" i="5" s="1"/>
  <c r="L59" i="18"/>
  <c r="H59" i="18" s="1"/>
  <c r="L40" i="18"/>
  <c r="H40" i="18" s="1"/>
  <c r="Q40" i="5"/>
  <c r="Q139" i="5"/>
  <c r="L139" i="18"/>
  <c r="H139" i="18" s="1"/>
  <c r="AA117" i="5"/>
  <c r="AA64" i="5"/>
  <c r="R64" i="5" s="1"/>
  <c r="Q49" i="5"/>
  <c r="AA54" i="5"/>
  <c r="R54" i="5" s="1"/>
  <c r="R168" i="5"/>
  <c r="AA36" i="5"/>
  <c r="R148" i="5"/>
  <c r="AA105" i="5"/>
  <c r="R105" i="5" s="1"/>
  <c r="S85" i="5"/>
  <c r="S170" i="5"/>
  <c r="S23" i="5"/>
  <c r="S55" i="5"/>
  <c r="AA177" i="5"/>
  <c r="R177" i="5" s="1"/>
  <c r="E126" i="18"/>
  <c r="AB126" i="5" s="1"/>
  <c r="S12" i="5"/>
  <c r="S125" i="5"/>
  <c r="Q89" i="5" l="1"/>
  <c r="R117" i="5"/>
  <c r="L117" i="18" s="1"/>
  <c r="H117" i="18" s="1"/>
  <c r="R36" i="5"/>
  <c r="L36" i="18" s="1"/>
  <c r="H36" i="18" s="1"/>
  <c r="J35" i="18" s="1"/>
  <c r="R21" i="5"/>
  <c r="L21" i="18" s="1"/>
  <c r="H21" i="18" s="1"/>
  <c r="R101" i="5"/>
  <c r="L101" i="18" s="1"/>
  <c r="H101" i="18" s="1"/>
  <c r="R79" i="5"/>
  <c r="L79" i="18" s="1"/>
  <c r="H79" i="18" s="1"/>
  <c r="Q59" i="5"/>
  <c r="J138" i="18"/>
  <c r="E139" i="18" s="1"/>
  <c r="AB139" i="5" s="1"/>
  <c r="Q188" i="5"/>
  <c r="R188" i="5"/>
  <c r="L188" i="18" s="1"/>
  <c r="H188" i="18" s="1"/>
  <c r="R14" i="5"/>
  <c r="L14" i="18" s="1"/>
  <c r="H14" i="18" s="1"/>
  <c r="Q192" i="5"/>
  <c r="R192" i="5"/>
  <c r="L192" i="18" s="1"/>
  <c r="H192" i="18" s="1"/>
  <c r="Q158" i="5"/>
  <c r="AA68" i="5"/>
  <c r="R68" i="5" s="1"/>
  <c r="Q101" i="5"/>
  <c r="L105" i="18"/>
  <c r="H105" i="18" s="1"/>
  <c r="Q105" i="5"/>
  <c r="Q79" i="5"/>
  <c r="Q21" i="5"/>
  <c r="L168" i="18"/>
  <c r="H168" i="18" s="1"/>
  <c r="J166" i="18" s="1"/>
  <c r="E167" i="18" s="1"/>
  <c r="Q168" i="5"/>
  <c r="L64" i="18"/>
  <c r="H64" i="18" s="1"/>
  <c r="Q64" i="5"/>
  <c r="L184" i="18"/>
  <c r="H184" i="18" s="1"/>
  <c r="Q184" i="5"/>
  <c r="Q117" i="5"/>
  <c r="L177" i="18"/>
  <c r="H177" i="18" s="1"/>
  <c r="J174" i="18" s="1"/>
  <c r="E182" i="18" s="1"/>
  <c r="Q177" i="5"/>
  <c r="Q36" i="5"/>
  <c r="L54" i="18"/>
  <c r="H54" i="18" s="1"/>
  <c r="J48" i="18" s="1"/>
  <c r="Q54" i="5"/>
  <c r="Q93" i="5"/>
  <c r="L148" i="18"/>
  <c r="H148" i="18" s="1"/>
  <c r="J146" i="18" s="1"/>
  <c r="Q148" i="5"/>
  <c r="L82" i="18"/>
  <c r="H82" i="18" s="1"/>
  <c r="Q82" i="5"/>
  <c r="S71" i="5"/>
  <c r="S126" i="5"/>
  <c r="T124" i="5"/>
  <c r="J183" i="18" l="1"/>
  <c r="E192" i="18" s="1"/>
  <c r="AB192" i="5" s="1"/>
  <c r="S192" i="5" s="1"/>
  <c r="E142" i="18"/>
  <c r="AB142" i="5" s="1"/>
  <c r="S142" i="5" s="1"/>
  <c r="S139" i="5"/>
  <c r="J100" i="18"/>
  <c r="E105" i="18" s="1"/>
  <c r="AB105" i="5" s="1"/>
  <c r="S105" i="5" s="1"/>
  <c r="E177" i="18"/>
  <c r="AB177" i="5" s="1"/>
  <c r="S177" i="5" s="1"/>
  <c r="AB182" i="5"/>
  <c r="J112" i="18"/>
  <c r="E114" i="18" s="1"/>
  <c r="S114" i="5" s="1"/>
  <c r="J20" i="18"/>
  <c r="E21" i="18" s="1"/>
  <c r="AB21" i="5" s="1"/>
  <c r="E168" i="18"/>
  <c r="AB168" i="5" s="1"/>
  <c r="S168" i="5" s="1"/>
  <c r="AB167" i="5"/>
  <c r="E54" i="18"/>
  <c r="AB54" i="5" s="1"/>
  <c r="S54" i="5" s="1"/>
  <c r="E49" i="18"/>
  <c r="AB49" i="5" s="1"/>
  <c r="E36" i="18"/>
  <c r="AB36" i="5" s="1"/>
  <c r="E44" i="18"/>
  <c r="AB44" i="5" s="1"/>
  <c r="S44" i="5" s="1"/>
  <c r="E40" i="18"/>
  <c r="AB40" i="5" s="1"/>
  <c r="S40" i="5" s="1"/>
  <c r="E47" i="18"/>
  <c r="AB47" i="5" s="1"/>
  <c r="E148" i="18"/>
  <c r="AB148" i="5" s="1"/>
  <c r="S148" i="5" s="1"/>
  <c r="E147" i="18"/>
  <c r="AB147" i="5" s="1"/>
  <c r="E59" i="18"/>
  <c r="L75" i="18"/>
  <c r="H75" i="18" s="1"/>
  <c r="J74" i="18" s="1"/>
  <c r="E175" i="18"/>
  <c r="AB175" i="5" s="1"/>
  <c r="E176" i="18"/>
  <c r="AB176" i="5" s="1"/>
  <c r="L68" i="18"/>
  <c r="H68" i="18" s="1"/>
  <c r="Q68" i="5"/>
  <c r="L89" i="18"/>
  <c r="H89" i="18" s="1"/>
  <c r="L93" i="18"/>
  <c r="H93" i="18" s="1"/>
  <c r="S61" i="4"/>
  <c r="T61" i="4" s="1"/>
  <c r="S61" i="21"/>
  <c r="T61" i="21" s="1"/>
  <c r="L124" i="18"/>
  <c r="H124" i="18" s="1"/>
  <c r="S182" i="5" l="1"/>
  <c r="AB174" i="5"/>
  <c r="AB35" i="5"/>
  <c r="S35" i="5" s="1"/>
  <c r="AA138" i="5"/>
  <c r="R138" i="5" s="1"/>
  <c r="L138" i="18" s="1"/>
  <c r="H138" i="18" s="1"/>
  <c r="J122" i="18" s="1"/>
  <c r="E104" i="18"/>
  <c r="AB104" i="5" s="1"/>
  <c r="S104" i="5" s="1"/>
  <c r="E101" i="18"/>
  <c r="AB101" i="5" s="1"/>
  <c r="E184" i="18"/>
  <c r="AB146" i="5"/>
  <c r="E188" i="18"/>
  <c r="AB188" i="5" s="1"/>
  <c r="S188" i="5" s="1"/>
  <c r="AB138" i="5"/>
  <c r="AA174" i="5"/>
  <c r="AB166" i="5"/>
  <c r="AA166" i="5"/>
  <c r="R166" i="5" s="1"/>
  <c r="AB59" i="5"/>
  <c r="S59" i="5" s="1"/>
  <c r="AA146" i="5"/>
  <c r="R146" i="5" s="1"/>
  <c r="S49" i="5"/>
  <c r="AA35" i="5"/>
  <c r="R35" i="5" s="1"/>
  <c r="E30" i="18"/>
  <c r="AB30" i="5" s="1"/>
  <c r="S30" i="5" s="1"/>
  <c r="E116" i="18"/>
  <c r="AB116" i="5" s="1"/>
  <c r="S116" i="5" s="1"/>
  <c r="E117" i="18"/>
  <c r="S117" i="5" s="1"/>
  <c r="E31" i="18"/>
  <c r="AB31" i="5" s="1"/>
  <c r="S31" i="5" s="1"/>
  <c r="E32" i="18"/>
  <c r="S36" i="5"/>
  <c r="S101" i="5"/>
  <c r="E113" i="18"/>
  <c r="AB113" i="5" s="1"/>
  <c r="S113" i="5" s="1"/>
  <c r="S175" i="5"/>
  <c r="J78" i="18"/>
  <c r="E93" i="18" s="1"/>
  <c r="AB93" i="5" s="1"/>
  <c r="S93" i="5" s="1"/>
  <c r="S21" i="5"/>
  <c r="S167" i="5"/>
  <c r="E75" i="18"/>
  <c r="AB75" i="5" s="1"/>
  <c r="E76" i="18"/>
  <c r="AB76" i="5" s="1"/>
  <c r="S76" i="5" s="1"/>
  <c r="E77" i="18"/>
  <c r="S147" i="5"/>
  <c r="S176" i="5"/>
  <c r="S47" i="5"/>
  <c r="AB100" i="5" l="1"/>
  <c r="S100" i="5" s="1"/>
  <c r="E123" i="18"/>
  <c r="AB123" i="5" s="1"/>
  <c r="S123" i="5" s="1"/>
  <c r="E124" i="18"/>
  <c r="AB124" i="5" s="1"/>
  <c r="S124" i="5" s="1"/>
  <c r="Q138" i="5"/>
  <c r="AA100" i="5"/>
  <c r="R100" i="5" s="1"/>
  <c r="L100" i="18" s="1"/>
  <c r="H100" i="18" s="1"/>
  <c r="AB184" i="5"/>
  <c r="AB183" i="5" s="1"/>
  <c r="AA48" i="5"/>
  <c r="R48" i="5" s="1"/>
  <c r="L48" i="18" s="1"/>
  <c r="H48" i="18" s="1"/>
  <c r="E138" i="18"/>
  <c r="S138" i="5" s="1"/>
  <c r="E129" i="18"/>
  <c r="AB129" i="5" s="1"/>
  <c r="S129" i="5" s="1"/>
  <c r="AA183" i="5"/>
  <c r="Q183" i="5" s="1"/>
  <c r="E82" i="18"/>
  <c r="AB82" i="5" s="1"/>
  <c r="S82" i="5" s="1"/>
  <c r="AB32" i="5"/>
  <c r="AB48" i="5"/>
  <c r="S48" i="5" s="1"/>
  <c r="AB77" i="5"/>
  <c r="S77" i="5" s="1"/>
  <c r="Q174" i="5"/>
  <c r="R174" i="5"/>
  <c r="L174" i="18" s="1"/>
  <c r="H174" i="18" s="1"/>
  <c r="E89" i="18"/>
  <c r="AB89" i="5" s="1"/>
  <c r="S89" i="5" s="1"/>
  <c r="E79" i="18"/>
  <c r="AB79" i="5" s="1"/>
  <c r="Q166" i="5"/>
  <c r="L166" i="18"/>
  <c r="H166" i="18" s="1"/>
  <c r="S75" i="5"/>
  <c r="L146" i="18"/>
  <c r="H146" i="18" s="1"/>
  <c r="Q146" i="5"/>
  <c r="Q35" i="5"/>
  <c r="L35" i="18"/>
  <c r="Q48" i="5" l="1"/>
  <c r="Q100" i="5"/>
  <c r="AB20" i="5"/>
  <c r="S20" i="5" s="1"/>
  <c r="S184" i="5"/>
  <c r="R183" i="5"/>
  <c r="L183" i="18" s="1"/>
  <c r="H183" i="18" s="1"/>
  <c r="J172" i="18" s="1"/>
  <c r="E173" i="18" s="1"/>
  <c r="AA20" i="5"/>
  <c r="R20" i="5" s="1"/>
  <c r="L20" i="18" s="1"/>
  <c r="H20" i="18" s="1"/>
  <c r="AA74" i="5"/>
  <c r="R74" i="5" s="1"/>
  <c r="S32" i="5"/>
  <c r="AB78" i="5"/>
  <c r="S78" i="5" s="1"/>
  <c r="AA78" i="5"/>
  <c r="R78" i="5" s="1"/>
  <c r="S79" i="5"/>
  <c r="H35" i="18"/>
  <c r="AB173" i="5" l="1"/>
  <c r="S173" i="5" s="1"/>
  <c r="Q20" i="5"/>
  <c r="E174" i="18"/>
  <c r="S174" i="5" s="1"/>
  <c r="Q74" i="5"/>
  <c r="E183" i="18"/>
  <c r="S183" i="5" s="1"/>
  <c r="Q78" i="5"/>
  <c r="L78" i="18" l="1"/>
  <c r="H78" i="18" s="1"/>
  <c r="L74" i="18"/>
  <c r="H74" i="18" s="1"/>
  <c r="J63" i="18" s="1"/>
  <c r="E68" i="18" l="1"/>
  <c r="E64" i="18"/>
  <c r="AB64" i="5" s="1"/>
  <c r="E74" i="18"/>
  <c r="AB74" i="5" l="1"/>
  <c r="S74" i="5" s="1"/>
  <c r="AB68" i="5"/>
  <c r="S68" i="5" s="1"/>
  <c r="S64" i="5"/>
  <c r="AB63" i="5" l="1"/>
  <c r="S63" i="5" s="1"/>
  <c r="AA63" i="5"/>
  <c r="Q63" i="5" s="1"/>
  <c r="R63" i="5" l="1"/>
  <c r="L63" i="18" s="1"/>
  <c r="H63" i="18" s="1"/>
  <c r="J62" i="18" s="1"/>
  <c r="E63" i="18" s="1"/>
  <c r="E100" i="18" l="1"/>
  <c r="E78" i="18"/>
  <c r="J151" i="18"/>
  <c r="E165" i="18" l="1"/>
  <c r="E158" i="18"/>
  <c r="AB158" i="5" s="1"/>
  <c r="S158" i="5" s="1"/>
  <c r="E154" i="18"/>
  <c r="E153" i="18"/>
  <c r="E152" i="18"/>
  <c r="AB152" i="5" s="1"/>
  <c r="E155" i="18"/>
  <c r="E156" i="18"/>
  <c r="E157" i="18"/>
  <c r="AB165" i="5" l="1"/>
  <c r="AB157" i="5"/>
  <c r="S157" i="5" s="1"/>
  <c r="AB156" i="5"/>
  <c r="S156" i="5" s="1"/>
  <c r="AB153" i="5"/>
  <c r="S153" i="5" s="1"/>
  <c r="AB155" i="5"/>
  <c r="S155" i="5" s="1"/>
  <c r="AB154" i="5"/>
  <c r="S154" i="5" s="1"/>
  <c r="S152" i="5"/>
  <c r="S165" i="5" l="1"/>
  <c r="AB151" i="5"/>
  <c r="AA151" i="5"/>
  <c r="Q151" i="5" s="1"/>
  <c r="R151" i="5" l="1"/>
  <c r="L151" i="18" s="1"/>
  <c r="H151" i="18" s="1"/>
  <c r="J145" i="18" s="1"/>
  <c r="E166" i="18" s="1"/>
  <c r="S166" i="5" s="1"/>
  <c r="F252" i="9"/>
  <c r="E151" i="18" l="1"/>
  <c r="S151" i="5" s="1"/>
  <c r="E146" i="18"/>
  <c r="S146" i="5" s="1"/>
  <c r="F256" i="9"/>
  <c r="F255" i="9"/>
  <c r="F254" i="9"/>
  <c r="J249" i="9"/>
  <c r="F253" i="9"/>
  <c r="V94" i="5"/>
  <c r="L11" i="18" l="1"/>
  <c r="H11" i="18" s="1"/>
  <c r="J10" i="18" s="1"/>
  <c r="E11" i="18" s="1"/>
  <c r="AB11" i="5" l="1"/>
  <c r="E14" i="18"/>
  <c r="AB14" i="5" s="1"/>
  <c r="S14" i="5" s="1"/>
  <c r="E19" i="18"/>
  <c r="AB19" i="5" l="1"/>
  <c r="S19" i="5" s="1"/>
  <c r="S11" i="5"/>
  <c r="AB10" i="5" l="1"/>
  <c r="S10" i="5" s="1"/>
  <c r="AA10" i="5"/>
  <c r="R10" i="5" l="1"/>
  <c r="L10" i="18" s="1"/>
  <c r="H10" i="18" s="1"/>
  <c r="J9" i="18" s="1"/>
  <c r="Q10" i="5"/>
  <c r="E20" i="18" l="1"/>
  <c r="E10" i="18"/>
  <c r="E48" i="18"/>
  <c r="E35" i="18"/>
  <c r="Y11" i="5"/>
  <c r="O11" i="5" s="1"/>
  <c r="K11" i="18" s="1"/>
  <c r="G11" i="18" s="1"/>
  <c r="Y181" i="5"/>
  <c r="O181" i="5" s="1"/>
  <c r="K181" i="18" s="1"/>
  <c r="G181" i="18" s="1"/>
  <c r="Y80" i="5"/>
  <c r="O80" i="5" s="1"/>
  <c r="K80" i="18" s="1"/>
  <c r="G80" i="18" s="1"/>
  <c r="Y189" i="5"/>
  <c r="O189" i="5" s="1"/>
  <c r="K189" i="18" s="1"/>
  <c r="G189" i="18" s="1"/>
  <c r="Y15" i="5"/>
  <c r="O15" i="5" s="1"/>
  <c r="K15" i="18" s="1"/>
  <c r="G15" i="18" s="1"/>
  <c r="Y171" i="5"/>
  <c r="O171" i="5" s="1"/>
  <c r="K171" i="18" s="1"/>
  <c r="G171" i="18" s="1"/>
  <c r="Y83" i="5"/>
  <c r="O83" i="5" s="1"/>
  <c r="Y37" i="5"/>
  <c r="O37" i="5" s="1"/>
  <c r="K37" i="18" s="1"/>
  <c r="G37" i="18" s="1"/>
  <c r="Y115" i="5"/>
  <c r="Y88" i="5"/>
  <c r="O88" i="5" s="1"/>
  <c r="Y24" i="5"/>
  <c r="O24" i="5" s="1"/>
  <c r="K24" i="18" s="1"/>
  <c r="G24" i="18" s="1"/>
  <c r="Y97" i="5"/>
  <c r="O97" i="5" s="1"/>
  <c r="K97" i="18" s="1"/>
  <c r="G97" i="18" s="1"/>
  <c r="Y193" i="5"/>
  <c r="O193" i="5" s="1"/>
  <c r="K193" i="18" s="1"/>
  <c r="G193" i="18" s="1"/>
  <c r="I192" i="18" s="1"/>
  <c r="Y109" i="5"/>
  <c r="O109" i="5" s="1"/>
  <c r="K109" i="18" s="1"/>
  <c r="G109" i="18" s="1"/>
  <c r="Y187" i="5"/>
  <c r="O187" i="5" s="1"/>
  <c r="K187" i="18" s="1"/>
  <c r="G187" i="18" s="1"/>
  <c r="Y167" i="5"/>
  <c r="Y98" i="5"/>
  <c r="O98" i="5" s="1"/>
  <c r="K98" i="18" s="1"/>
  <c r="G98" i="18" s="1"/>
  <c r="Y30" i="5"/>
  <c r="O30" i="5" s="1"/>
  <c r="K30" i="18" s="1"/>
  <c r="G30" i="18" s="1"/>
  <c r="Y47" i="5"/>
  <c r="O47" i="5" s="1"/>
  <c r="K47" i="18" s="1"/>
  <c r="G47" i="18" s="1"/>
  <c r="Y71" i="5"/>
  <c r="O71" i="5" s="1"/>
  <c r="K71" i="18" s="1"/>
  <c r="G71" i="18" s="1"/>
  <c r="Y87" i="5"/>
  <c r="O87" i="5" s="1"/>
  <c r="Y102" i="5"/>
  <c r="O102" i="5" s="1"/>
  <c r="K102" i="18" s="1"/>
  <c r="G102" i="18" s="1"/>
  <c r="Y110" i="5"/>
  <c r="O110" i="5" s="1"/>
  <c r="K110" i="18" s="1"/>
  <c r="G110" i="18" s="1"/>
  <c r="Y150" i="5"/>
  <c r="O150" i="5" s="1"/>
  <c r="K150" i="18" s="1"/>
  <c r="G150" i="18" s="1"/>
  <c r="Y149" i="5"/>
  <c r="Y66" i="5"/>
  <c r="O66" i="5" s="1"/>
  <c r="K66" i="18" s="1"/>
  <c r="G66" i="18" s="1"/>
  <c r="Y69" i="5"/>
  <c r="O69" i="5" s="1"/>
  <c r="K69" i="18" s="1"/>
  <c r="G69" i="18" s="1"/>
  <c r="Y191" i="5"/>
  <c r="O191" i="5" s="1"/>
  <c r="K191" i="18" s="1"/>
  <c r="G191" i="18" s="1"/>
  <c r="Y153" i="5"/>
  <c r="O153" i="5" s="1"/>
  <c r="K153" i="18" s="1"/>
  <c r="G153" i="18" s="1"/>
  <c r="Y169" i="5"/>
  <c r="O169" i="5" s="1"/>
  <c r="K169" i="18" s="1"/>
  <c r="G169" i="18" s="1"/>
  <c r="Y94" i="5"/>
  <c r="O94" i="5" s="1"/>
  <c r="K94" i="18" s="1"/>
  <c r="G94" i="18" s="1"/>
  <c r="Y57" i="5"/>
  <c r="O57" i="5" s="1"/>
  <c r="K57" i="18" s="1"/>
  <c r="G57" i="18" s="1"/>
  <c r="Y185" i="5"/>
  <c r="O185" i="5" s="1"/>
  <c r="K185" i="18" s="1"/>
  <c r="G185" i="18" s="1"/>
  <c r="Y75" i="5"/>
  <c r="O75" i="5" s="1"/>
  <c r="K75" i="18" s="1"/>
  <c r="G75" i="18" s="1"/>
  <c r="Y55" i="5"/>
  <c r="O55" i="5" s="1"/>
  <c r="K55" i="18" s="1"/>
  <c r="G55" i="18" s="1"/>
  <c r="Y73" i="5"/>
  <c r="O73" i="5" s="1"/>
  <c r="K73" i="18" s="1"/>
  <c r="G73" i="18" s="1"/>
  <c r="Y19" i="5"/>
  <c r="O19" i="5" s="1"/>
  <c r="K19" i="18" s="1"/>
  <c r="G19" i="18" s="1"/>
  <c r="Y176" i="5"/>
  <c r="O176" i="5" s="1"/>
  <c r="K176" i="18" s="1"/>
  <c r="G176" i="18" s="1"/>
  <c r="Y70" i="5"/>
  <c r="O70" i="5" s="1"/>
  <c r="K70" i="18" s="1"/>
  <c r="G70" i="18" s="1"/>
  <c r="Y154" i="5"/>
  <c r="O154" i="5" s="1"/>
  <c r="K154" i="18" s="1"/>
  <c r="G154" i="18" s="1"/>
  <c r="Y44" i="5"/>
  <c r="O44" i="5" s="1"/>
  <c r="K44" i="18" s="1"/>
  <c r="G44" i="18" s="1"/>
  <c r="Y61" i="5"/>
  <c r="O61" i="5" s="1"/>
  <c r="K61" i="18" s="1"/>
  <c r="G61" i="18" s="1"/>
  <c r="Y56" i="5"/>
  <c r="O56" i="5" s="1"/>
  <c r="K56" i="18" s="1"/>
  <c r="G56" i="18" s="1"/>
  <c r="Y155" i="5"/>
  <c r="O155" i="5" s="1"/>
  <c r="K155" i="18" s="1"/>
  <c r="G155" i="18" s="1"/>
  <c r="Y96" i="5"/>
  <c r="O96" i="5" s="1"/>
  <c r="K96" i="18" s="1"/>
  <c r="G96" i="18" s="1"/>
  <c r="Y157" i="5"/>
  <c r="O157" i="5" s="1"/>
  <c r="K157" i="18" s="1"/>
  <c r="G157" i="18" s="1"/>
  <c r="Y156" i="5"/>
  <c r="O156" i="5" s="1"/>
  <c r="K156" i="18" s="1"/>
  <c r="G156" i="18" s="1"/>
  <c r="Y65" i="5"/>
  <c r="O65" i="5" s="1"/>
  <c r="K65" i="18" s="1"/>
  <c r="G65" i="18" s="1"/>
  <c r="Y43" i="5"/>
  <c r="O43" i="5" s="1"/>
  <c r="K43" i="18" s="1"/>
  <c r="G43" i="18" s="1"/>
  <c r="Y186" i="5"/>
  <c r="O186" i="5" s="1"/>
  <c r="K186" i="18" s="1"/>
  <c r="G186" i="18" s="1"/>
  <c r="Y72" i="5"/>
  <c r="O72" i="5" s="1"/>
  <c r="K72" i="18" s="1"/>
  <c r="G72" i="18" s="1"/>
  <c r="Y107" i="5"/>
  <c r="O107" i="5" s="1"/>
  <c r="K107" i="18" s="1"/>
  <c r="G107" i="18" s="1"/>
  <c r="Y60" i="5"/>
  <c r="O60" i="5" s="1"/>
  <c r="K60" i="18" s="1"/>
  <c r="G60" i="18" s="1"/>
  <c r="Y175" i="5"/>
  <c r="O175" i="5" s="1"/>
  <c r="K175" i="18" s="1"/>
  <c r="G175" i="18" s="1"/>
  <c r="Y42" i="5"/>
  <c r="Y119" i="5"/>
  <c r="O119" i="5" s="1"/>
  <c r="K119" i="18" s="1"/>
  <c r="G119" i="18" s="1"/>
  <c r="Y39" i="5"/>
  <c r="O39" i="5" s="1"/>
  <c r="K39" i="18" s="1"/>
  <c r="G39" i="18" s="1"/>
  <c r="Y180" i="5"/>
  <c r="O180" i="5" s="1"/>
  <c r="K180" i="18" s="1"/>
  <c r="G180" i="18" s="1"/>
  <c r="O124" i="5"/>
  <c r="K124" i="18" s="1"/>
  <c r="G124" i="18" s="1"/>
  <c r="Y106" i="5"/>
  <c r="O106" i="5" s="1"/>
  <c r="K106" i="18" s="1"/>
  <c r="G106" i="18" s="1"/>
  <c r="Y141" i="5"/>
  <c r="O141" i="5" s="1"/>
  <c r="K141" i="18" s="1"/>
  <c r="G141" i="18" s="1"/>
  <c r="Y67" i="5"/>
  <c r="O67" i="5" s="1"/>
  <c r="K67" i="18" s="1"/>
  <c r="G67" i="18" s="1"/>
  <c r="Y103" i="5"/>
  <c r="O103" i="5" s="1"/>
  <c r="K103" i="18" s="1"/>
  <c r="G103" i="18" s="1"/>
  <c r="Y108" i="5"/>
  <c r="O108" i="5" s="1"/>
  <c r="K108" i="18" s="1"/>
  <c r="G108" i="18" s="1"/>
  <c r="Y116" i="5"/>
  <c r="Y144" i="5"/>
  <c r="O144" i="5" s="1"/>
  <c r="K144" i="18" s="1"/>
  <c r="G144" i="18" s="1"/>
  <c r="Y16" i="5"/>
  <c r="O16" i="5" s="1"/>
  <c r="K16" i="18" s="1"/>
  <c r="G16" i="18" s="1"/>
  <c r="Y111" i="5"/>
  <c r="O111" i="5" s="1"/>
  <c r="K111" i="18" s="1"/>
  <c r="G111" i="18" s="1"/>
  <c r="Y152" i="5"/>
  <c r="O152" i="5" s="1"/>
  <c r="K152" i="18" s="1"/>
  <c r="G152" i="18" s="1"/>
  <c r="Y18" i="5"/>
  <c r="O18" i="5" s="1"/>
  <c r="K18" i="18" s="1"/>
  <c r="G18" i="18" s="1"/>
  <c r="Y25" i="5"/>
  <c r="O25" i="5" s="1"/>
  <c r="K25" i="18" s="1"/>
  <c r="G25" i="18" s="1"/>
  <c r="Y143" i="5"/>
  <c r="O143" i="5" s="1"/>
  <c r="K143" i="18" s="1"/>
  <c r="G143" i="18" s="1"/>
  <c r="Y95" i="5"/>
  <c r="O95" i="5" s="1"/>
  <c r="K95" i="18" s="1"/>
  <c r="G95" i="18" s="1"/>
  <c r="Y17" i="5"/>
  <c r="O17" i="5" s="1"/>
  <c r="K17" i="18" s="1"/>
  <c r="G17" i="18" s="1"/>
  <c r="Y123" i="5"/>
  <c r="AC123" i="5" s="1"/>
  <c r="Y86" i="5"/>
  <c r="O86" i="5" s="1"/>
  <c r="K86" i="18" s="1"/>
  <c r="G86" i="18" s="1"/>
  <c r="Y104" i="5"/>
  <c r="O104" i="5" s="1"/>
  <c r="K104" i="18" s="1"/>
  <c r="G104" i="18" s="1"/>
  <c r="Y190" i="5"/>
  <c r="O190" i="5" s="1"/>
  <c r="K190" i="18" s="1"/>
  <c r="G190" i="18" s="1"/>
  <c r="Y38" i="5"/>
  <c r="O38" i="5" s="1"/>
  <c r="K38" i="18" s="1"/>
  <c r="G38" i="18" s="1"/>
  <c r="Y178" i="5"/>
  <c r="Y140" i="5"/>
  <c r="Y22" i="5"/>
  <c r="O22" i="5" s="1"/>
  <c r="K22" i="18" s="1"/>
  <c r="G22" i="18" s="1"/>
  <c r="Y81" i="5"/>
  <c r="O81" i="5" s="1"/>
  <c r="K81" i="18" s="1"/>
  <c r="G81" i="18" s="1"/>
  <c r="Y85" i="5"/>
  <c r="O85" i="5" s="1"/>
  <c r="K85" i="18" s="1"/>
  <c r="G85" i="18" s="1"/>
  <c r="Y118" i="5"/>
  <c r="O118" i="5" s="1"/>
  <c r="K118" i="18" s="1"/>
  <c r="G118" i="18" s="1"/>
  <c r="Y84" i="5"/>
  <c r="O84" i="5" s="1"/>
  <c r="K84" i="18" s="1"/>
  <c r="G84" i="18" s="1"/>
  <c r="Y170" i="5"/>
  <c r="O170" i="5" s="1"/>
  <c r="K170" i="18" s="1"/>
  <c r="G170" i="18" s="1"/>
  <c r="Y76" i="5"/>
  <c r="O76" i="5" s="1"/>
  <c r="K76" i="18" s="1"/>
  <c r="G76" i="18" s="1"/>
  <c r="Y147" i="5"/>
  <c r="Y179" i="5"/>
  <c r="O179" i="5" s="1"/>
  <c r="K179" i="18" s="1"/>
  <c r="G179" i="18" s="1"/>
  <c r="Y50" i="5"/>
  <c r="I142" i="18" l="1"/>
  <c r="D144" i="18" s="1"/>
  <c r="Z144" i="5" s="1"/>
  <c r="P144" i="5" s="1"/>
  <c r="O123" i="5"/>
  <c r="K123" i="18" s="1"/>
  <c r="G123" i="18" s="1"/>
  <c r="T123" i="5"/>
  <c r="O167" i="5"/>
  <c r="K167" i="18" s="1"/>
  <c r="G167" i="18" s="1"/>
  <c r="O147" i="5"/>
  <c r="K147" i="18" s="1"/>
  <c r="G147" i="18" s="1"/>
  <c r="O140" i="5"/>
  <c r="K140" i="18" s="1"/>
  <c r="G140" i="18" s="1"/>
  <c r="I139" i="18" s="1"/>
  <c r="D140" i="18" s="1"/>
  <c r="Z140" i="5" s="1"/>
  <c r="O116" i="5"/>
  <c r="K116" i="18" s="1"/>
  <c r="G116" i="18" s="1"/>
  <c r="AC116" i="5"/>
  <c r="T116" i="5" s="1"/>
  <c r="O149" i="5"/>
  <c r="K149" i="18" s="1"/>
  <c r="G149" i="18" s="1"/>
  <c r="I148" i="18" s="1"/>
  <c r="O178" i="5"/>
  <c r="K178" i="18" s="1"/>
  <c r="G178" i="18" s="1"/>
  <c r="I177" i="18" s="1"/>
  <c r="I188" i="18"/>
  <c r="I184" i="18"/>
  <c r="D143" i="18"/>
  <c r="Z143" i="5" s="1"/>
  <c r="P143" i="5" s="1"/>
  <c r="I117" i="18"/>
  <c r="D194" i="18"/>
  <c r="Z194" i="5" s="1"/>
  <c r="P194" i="5" s="1"/>
  <c r="D193" i="18"/>
  <c r="Z193" i="5" s="1"/>
  <c r="P193" i="5" s="1"/>
  <c r="I168" i="18"/>
  <c r="D169" i="18" s="1"/>
  <c r="Z169" i="5" s="1"/>
  <c r="I105" i="18"/>
  <c r="D111" i="18" s="1"/>
  <c r="Z111" i="5" s="1"/>
  <c r="P111" i="5" s="1"/>
  <c r="I101" i="18"/>
  <c r="D103" i="18" s="1"/>
  <c r="Z103" i="5" s="1"/>
  <c r="P103" i="5" s="1"/>
  <c r="I93" i="18"/>
  <c r="D96" i="18" s="1"/>
  <c r="Z96" i="5" s="1"/>
  <c r="K88" i="18"/>
  <c r="G88" i="18" s="1"/>
  <c r="K87" i="18"/>
  <c r="G87" i="18" s="1"/>
  <c r="K10" i="6"/>
  <c r="K83" i="18"/>
  <c r="G83" i="18" s="1"/>
  <c r="K103" i="6"/>
  <c r="I79" i="18"/>
  <c r="D81" i="18" s="1"/>
  <c r="Z81" i="5" s="1"/>
  <c r="P81" i="5" s="1"/>
  <c r="I74" i="18"/>
  <c r="D77" i="18" s="1"/>
  <c r="Z77" i="5" s="1"/>
  <c r="I68" i="18"/>
  <c r="D69" i="18" s="1"/>
  <c r="Z69" i="5" s="1"/>
  <c r="I64" i="18"/>
  <c r="D66" i="18" s="1"/>
  <c r="Z66" i="5" s="1"/>
  <c r="I59" i="18"/>
  <c r="D60" i="18" s="1"/>
  <c r="Z60" i="5" s="1"/>
  <c r="I54" i="18"/>
  <c r="D55" i="18" s="1"/>
  <c r="Z55" i="5" s="1"/>
  <c r="O50" i="5"/>
  <c r="K50" i="18" s="1"/>
  <c r="G50" i="18" s="1"/>
  <c r="I49" i="18" s="1"/>
  <c r="O42" i="5"/>
  <c r="K42" i="18" s="1"/>
  <c r="G42" i="18" s="1"/>
  <c r="I40" i="18" s="1"/>
  <c r="I36" i="18"/>
  <c r="D39" i="18" s="1"/>
  <c r="Z39" i="5" s="1"/>
  <c r="P39" i="5" s="1"/>
  <c r="I21" i="18"/>
  <c r="D24" i="18" s="1"/>
  <c r="Z24" i="5" s="1"/>
  <c r="I14" i="18"/>
  <c r="D18" i="18" s="1"/>
  <c r="Z18" i="5" s="1"/>
  <c r="T113" i="5"/>
  <c r="O113" i="5"/>
  <c r="K113" i="18" s="1"/>
  <c r="G113" i="18" s="1"/>
  <c r="O115" i="5"/>
  <c r="K115" i="18" s="1"/>
  <c r="G115" i="18" s="1"/>
  <c r="I114" i="18" s="1"/>
  <c r="D115" i="18" s="1"/>
  <c r="Z115" i="5" s="1"/>
  <c r="P115" i="5" s="1"/>
  <c r="Y142" i="5" l="1"/>
  <c r="N142" i="5" s="1"/>
  <c r="I82" i="18"/>
  <c r="D84" i="18" s="1"/>
  <c r="Z84" i="5" s="1"/>
  <c r="P84" i="5" s="1"/>
  <c r="D149" i="18"/>
  <c r="Z149" i="5" s="1"/>
  <c r="D150" i="18"/>
  <c r="Z150" i="5" s="1"/>
  <c r="P150" i="5" s="1"/>
  <c r="Y192" i="5"/>
  <c r="N192" i="5" s="1"/>
  <c r="Y114" i="5"/>
  <c r="AC114" i="5" s="1"/>
  <c r="S60" i="4"/>
  <c r="T60" i="4" s="1"/>
  <c r="S60" i="21"/>
  <c r="T60" i="21" s="1"/>
  <c r="D76" i="18"/>
  <c r="Z76" i="5" s="1"/>
  <c r="P76" i="5" s="1"/>
  <c r="D97" i="18"/>
  <c r="Z97" i="5" s="1"/>
  <c r="P97" i="5" s="1"/>
  <c r="D16" i="18"/>
  <c r="Z16" i="5" s="1"/>
  <c r="P16" i="5" s="1"/>
  <c r="D186" i="18"/>
  <c r="Z186" i="5" s="1"/>
  <c r="P186" i="5" s="1"/>
  <c r="D185" i="18"/>
  <c r="Z185" i="5" s="1"/>
  <c r="D187" i="18"/>
  <c r="Z187" i="5" s="1"/>
  <c r="P187" i="5" s="1"/>
  <c r="D15" i="18"/>
  <c r="Z15" i="5" s="1"/>
  <c r="P15" i="5" s="1"/>
  <c r="D118" i="18"/>
  <c r="Z118" i="5" s="1"/>
  <c r="D119" i="18"/>
  <c r="Z119" i="5" s="1"/>
  <c r="P119" i="5" s="1"/>
  <c r="D190" i="18"/>
  <c r="Z190" i="5" s="1"/>
  <c r="P190" i="5" s="1"/>
  <c r="D191" i="18"/>
  <c r="Z191" i="5" s="1"/>
  <c r="P191" i="5" s="1"/>
  <c r="D189" i="18"/>
  <c r="Z189" i="5" s="1"/>
  <c r="D37" i="18"/>
  <c r="Z37" i="5" s="1"/>
  <c r="P37" i="5" s="1"/>
  <c r="D56" i="18"/>
  <c r="Z56" i="5" s="1"/>
  <c r="P56" i="5" s="1"/>
  <c r="D75" i="18"/>
  <c r="Z75" i="5" s="1"/>
  <c r="P75" i="5" s="1"/>
  <c r="D141" i="18"/>
  <c r="Z141" i="5" s="1"/>
  <c r="P141" i="5" s="1"/>
  <c r="D102" i="18"/>
  <c r="Z102" i="5" s="1"/>
  <c r="P77" i="5"/>
  <c r="D80" i="18"/>
  <c r="Z80" i="5" s="1"/>
  <c r="P80" i="5" s="1"/>
  <c r="D72" i="18"/>
  <c r="Z72" i="5" s="1"/>
  <c r="P72" i="5" s="1"/>
  <c r="D67" i="18"/>
  <c r="Z67" i="5" s="1"/>
  <c r="P67" i="5" s="1"/>
  <c r="P60" i="5"/>
  <c r="D61" i="18"/>
  <c r="Z61" i="5" s="1"/>
  <c r="P61" i="5" s="1"/>
  <c r="D58" i="18"/>
  <c r="Z58" i="5" s="1"/>
  <c r="P58" i="5" s="1"/>
  <c r="D57" i="18"/>
  <c r="Z57" i="5" s="1"/>
  <c r="P57" i="5" s="1"/>
  <c r="D38" i="18"/>
  <c r="Z38" i="5" s="1"/>
  <c r="P38" i="5" s="1"/>
  <c r="D170" i="18"/>
  <c r="Z170" i="5" s="1"/>
  <c r="P170" i="5" s="1"/>
  <c r="D171" i="18"/>
  <c r="Z171" i="5" s="1"/>
  <c r="P171" i="5" s="1"/>
  <c r="P169" i="5"/>
  <c r="P140" i="5"/>
  <c r="D108" i="18"/>
  <c r="Z108" i="5" s="1"/>
  <c r="P108" i="5" s="1"/>
  <c r="D107" i="18"/>
  <c r="Z107" i="5" s="1"/>
  <c r="P107" i="5" s="1"/>
  <c r="D109" i="18"/>
  <c r="Z109" i="5" s="1"/>
  <c r="P109" i="5" s="1"/>
  <c r="D106" i="18"/>
  <c r="Z106" i="5" s="1"/>
  <c r="P106" i="5" s="1"/>
  <c r="D110" i="18"/>
  <c r="Z110" i="5" s="1"/>
  <c r="D95" i="18"/>
  <c r="Z95" i="5" s="1"/>
  <c r="P95" i="5" s="1"/>
  <c r="D98" i="18"/>
  <c r="Z98" i="5" s="1"/>
  <c r="P98" i="5" s="1"/>
  <c r="D94" i="18"/>
  <c r="Z94" i="5" s="1"/>
  <c r="P94" i="5" s="1"/>
  <c r="P96" i="5"/>
  <c r="K110" i="6"/>
  <c r="L110" i="6" s="1"/>
  <c r="L103" i="6"/>
  <c r="K105" i="6"/>
  <c r="L105" i="6" s="1"/>
  <c r="K111" i="6"/>
  <c r="L111" i="6" s="1"/>
  <c r="K104" i="6"/>
  <c r="L104" i="6" s="1"/>
  <c r="K108" i="6"/>
  <c r="L108" i="6" s="1"/>
  <c r="K107" i="6"/>
  <c r="L107" i="6" s="1"/>
  <c r="K106" i="6"/>
  <c r="L106" i="6" s="1"/>
  <c r="K109" i="6"/>
  <c r="L109" i="6" s="1"/>
  <c r="D85" i="18"/>
  <c r="Z85" i="5" s="1"/>
  <c r="P85" i="5" s="1"/>
  <c r="D87" i="18"/>
  <c r="Z87" i="5" s="1"/>
  <c r="P87" i="5" s="1"/>
  <c r="K15" i="6"/>
  <c r="K18" i="6"/>
  <c r="K13" i="6"/>
  <c r="L10" i="6"/>
  <c r="K16" i="6"/>
  <c r="K26" i="6"/>
  <c r="L26" i="6" s="1"/>
  <c r="R26" i="6" s="1"/>
  <c r="L35" i="6" s="1"/>
  <c r="E8" i="16" s="1"/>
  <c r="K14" i="6"/>
  <c r="K17" i="6"/>
  <c r="K11" i="6"/>
  <c r="K12" i="6"/>
  <c r="D71" i="18"/>
  <c r="Z71" i="5" s="1"/>
  <c r="P71" i="5" s="1"/>
  <c r="D73" i="18"/>
  <c r="Z73" i="5" s="1"/>
  <c r="P73" i="5" s="1"/>
  <c r="D70" i="18"/>
  <c r="Z70" i="5" s="1"/>
  <c r="P70" i="5" s="1"/>
  <c r="P69" i="5"/>
  <c r="D65" i="18"/>
  <c r="Z65" i="5" s="1"/>
  <c r="P65" i="5" s="1"/>
  <c r="P66" i="5"/>
  <c r="P55" i="5"/>
  <c r="D51" i="18"/>
  <c r="Z51" i="5" s="1"/>
  <c r="P51" i="5" s="1"/>
  <c r="D50" i="18"/>
  <c r="Z50" i="5" s="1"/>
  <c r="D52" i="18"/>
  <c r="Z52" i="5" s="1"/>
  <c r="P52" i="5" s="1"/>
  <c r="D53" i="18"/>
  <c r="Z53" i="5" s="1"/>
  <c r="P53" i="5" s="1"/>
  <c r="D42" i="18"/>
  <c r="Z42" i="5" s="1"/>
  <c r="P42" i="5" s="1"/>
  <c r="D43" i="18"/>
  <c r="Z43" i="5" s="1"/>
  <c r="P43" i="5" s="1"/>
  <c r="D41" i="18"/>
  <c r="Z41" i="5" s="1"/>
  <c r="D27" i="18"/>
  <c r="Z27" i="5" s="1"/>
  <c r="P27" i="5" s="1"/>
  <c r="D23" i="18"/>
  <c r="Z23" i="5" s="1"/>
  <c r="P23" i="5" s="1"/>
  <c r="D25" i="18"/>
  <c r="Z25" i="5" s="1"/>
  <c r="P25" i="5" s="1"/>
  <c r="D28" i="18"/>
  <c r="Z28" i="5" s="1"/>
  <c r="P28" i="5" s="1"/>
  <c r="D26" i="18"/>
  <c r="Z26" i="5" s="1"/>
  <c r="P26" i="5" s="1"/>
  <c r="D29" i="18"/>
  <c r="Z29" i="5" s="1"/>
  <c r="P29" i="5" s="1"/>
  <c r="D22" i="18"/>
  <c r="Z22" i="5" s="1"/>
  <c r="P22" i="5" s="1"/>
  <c r="P24" i="5"/>
  <c r="D17" i="18"/>
  <c r="Z17" i="5" s="1"/>
  <c r="P17" i="5" s="1"/>
  <c r="P18" i="5"/>
  <c r="Y49" i="4"/>
  <c r="Z49" i="4" s="1"/>
  <c r="D178" i="18"/>
  <c r="Z178" i="5" s="1"/>
  <c r="D180" i="18"/>
  <c r="Z180" i="5" s="1"/>
  <c r="P180" i="5" s="1"/>
  <c r="D181" i="18"/>
  <c r="Z181" i="5" s="1"/>
  <c r="P181" i="5" s="1"/>
  <c r="D179" i="18"/>
  <c r="Z179" i="5" s="1"/>
  <c r="P179" i="5" s="1"/>
  <c r="Y50" i="4"/>
  <c r="Z50" i="4" s="1"/>
  <c r="Y50" i="21"/>
  <c r="Z50" i="21" s="1"/>
  <c r="O192" i="5" l="1"/>
  <c r="K192" i="18" s="1"/>
  <c r="G192" i="18" s="1"/>
  <c r="D83" i="18"/>
  <c r="Z83" i="5" s="1"/>
  <c r="D88" i="18"/>
  <c r="Z88" i="5" s="1"/>
  <c r="P88" i="5" s="1"/>
  <c r="D86" i="18"/>
  <c r="Z86" i="5" s="1"/>
  <c r="P86" i="5" s="1"/>
  <c r="O142" i="5"/>
  <c r="K142" i="18" s="1"/>
  <c r="G142" i="18" s="1"/>
  <c r="Y74" i="5"/>
  <c r="N74" i="5" s="1"/>
  <c r="Y64" i="5"/>
  <c r="N64" i="5" s="1"/>
  <c r="Y14" i="5"/>
  <c r="N14" i="5" s="1"/>
  <c r="Y79" i="5"/>
  <c r="O79" i="5" s="1"/>
  <c r="K79" i="18" s="1"/>
  <c r="G79" i="18" s="1"/>
  <c r="Y54" i="5"/>
  <c r="O54" i="5" s="1"/>
  <c r="K54" i="18" s="1"/>
  <c r="G54" i="18" s="1"/>
  <c r="Y177" i="5"/>
  <c r="P149" i="5"/>
  <c r="Y148" i="5"/>
  <c r="N148" i="5" s="1"/>
  <c r="Y139" i="5"/>
  <c r="N139" i="5" s="1"/>
  <c r="Y68" i="5"/>
  <c r="O68" i="5" s="1"/>
  <c r="K68" i="18" s="1"/>
  <c r="G68" i="18" s="1"/>
  <c r="P185" i="5"/>
  <c r="Y184" i="5"/>
  <c r="P189" i="5"/>
  <c r="Y188" i="5"/>
  <c r="P118" i="5"/>
  <c r="Y117" i="5"/>
  <c r="AC117" i="5" s="1"/>
  <c r="Y21" i="5"/>
  <c r="Y36" i="5"/>
  <c r="Y59" i="5"/>
  <c r="Y168" i="5"/>
  <c r="N168" i="5" s="1"/>
  <c r="P102" i="5"/>
  <c r="Y101" i="5"/>
  <c r="P110" i="5"/>
  <c r="Y105" i="5"/>
  <c r="Y93" i="5"/>
  <c r="O93" i="5" s="1"/>
  <c r="K93" i="18" s="1"/>
  <c r="G93" i="18" s="1"/>
  <c r="K27" i="6"/>
  <c r="L11" i="6"/>
  <c r="K31" i="6"/>
  <c r="L15" i="6"/>
  <c r="P83" i="5"/>
  <c r="K33" i="6"/>
  <c r="L17" i="6"/>
  <c r="K32" i="6"/>
  <c r="L16" i="6"/>
  <c r="K30" i="6"/>
  <c r="L14" i="6"/>
  <c r="L13" i="6"/>
  <c r="K29" i="6"/>
  <c r="L113" i="6"/>
  <c r="L134" i="6" s="1"/>
  <c r="E34" i="16" s="1"/>
  <c r="K28" i="6"/>
  <c r="L12" i="6"/>
  <c r="K34" i="6"/>
  <c r="L18" i="6"/>
  <c r="P50" i="5"/>
  <c r="Y49" i="5"/>
  <c r="P41" i="5"/>
  <c r="Y40" i="5"/>
  <c r="P178" i="5"/>
  <c r="N114" i="5"/>
  <c r="T114" i="5"/>
  <c r="O114" i="5"/>
  <c r="K114" i="18" s="1"/>
  <c r="G114" i="18" s="1"/>
  <c r="Y82" i="5" l="1"/>
  <c r="O82" i="5" s="1"/>
  <c r="K82" i="18" s="1"/>
  <c r="G82" i="18" s="1"/>
  <c r="I78" i="18" s="1"/>
  <c r="D79" i="18" s="1"/>
  <c r="Z79" i="5" s="1"/>
  <c r="O64" i="5"/>
  <c r="K64" i="18" s="1"/>
  <c r="G64" i="18" s="1"/>
  <c r="N79" i="5"/>
  <c r="O74" i="5"/>
  <c r="K74" i="18" s="1"/>
  <c r="G74" i="18" s="1"/>
  <c r="O14" i="5"/>
  <c r="K14" i="18" s="1"/>
  <c r="G14" i="18" s="1"/>
  <c r="I10" i="18" s="1"/>
  <c r="D14" i="18" s="1"/>
  <c r="Z14" i="5" s="1"/>
  <c r="P14" i="5" s="1"/>
  <c r="N68" i="5"/>
  <c r="Y49" i="21"/>
  <c r="Z49" i="21" s="1"/>
  <c r="N54" i="5"/>
  <c r="N36" i="5"/>
  <c r="O36" i="5"/>
  <c r="K36" i="18" s="1"/>
  <c r="G36" i="18" s="1"/>
  <c r="O148" i="5"/>
  <c r="K148" i="18" s="1"/>
  <c r="G148" i="18" s="1"/>
  <c r="I146" i="18" s="1"/>
  <c r="D147" i="18" s="1"/>
  <c r="Z147" i="5" s="1"/>
  <c r="N21" i="5"/>
  <c r="O139" i="5"/>
  <c r="N117" i="5"/>
  <c r="T117" i="5"/>
  <c r="O117" i="5"/>
  <c r="K117" i="18" s="1"/>
  <c r="G117" i="18" s="1"/>
  <c r="I112" i="18" s="1"/>
  <c r="N184" i="5"/>
  <c r="O184" i="5"/>
  <c r="K184" i="18" s="1"/>
  <c r="G184" i="18" s="1"/>
  <c r="L24" i="6"/>
  <c r="L133" i="6" s="1"/>
  <c r="E9" i="16" s="1"/>
  <c r="H16" i="14" s="1"/>
  <c r="N188" i="5"/>
  <c r="O188" i="5"/>
  <c r="K188" i="18" s="1"/>
  <c r="G188" i="18" s="1"/>
  <c r="O21" i="5"/>
  <c r="K21" i="18" s="1"/>
  <c r="G21" i="18" s="1"/>
  <c r="I20" i="18" s="1"/>
  <c r="D32" i="18" s="1"/>
  <c r="Z32" i="5" s="1"/>
  <c r="P32" i="5" s="1"/>
  <c r="N59" i="5"/>
  <c r="O59" i="5"/>
  <c r="K59" i="18" s="1"/>
  <c r="G59" i="18" s="1"/>
  <c r="O168" i="5"/>
  <c r="K168" i="18" s="1"/>
  <c r="G168" i="18" s="1"/>
  <c r="I166" i="18" s="1"/>
  <c r="D167" i="18" s="1"/>
  <c r="Z167" i="5" s="1"/>
  <c r="O101" i="5"/>
  <c r="K101" i="18" s="1"/>
  <c r="G101" i="18" s="1"/>
  <c r="N101" i="5"/>
  <c r="O105" i="5"/>
  <c r="K105" i="18" s="1"/>
  <c r="G105" i="18" s="1"/>
  <c r="N105" i="5"/>
  <c r="N93" i="5"/>
  <c r="T41" i="21"/>
  <c r="T41" i="4"/>
  <c r="I16" i="14"/>
  <c r="N82" i="5"/>
  <c r="O49" i="5"/>
  <c r="K49" i="18" s="1"/>
  <c r="G49" i="18" s="1"/>
  <c r="N49" i="5"/>
  <c r="O40" i="5"/>
  <c r="K40" i="18" s="1"/>
  <c r="G40" i="18" s="1"/>
  <c r="N40" i="5"/>
  <c r="O177" i="5"/>
  <c r="K177" i="18" s="1"/>
  <c r="G177" i="18" s="1"/>
  <c r="I174" i="18" s="1"/>
  <c r="N177" i="5"/>
  <c r="D11" i="18" l="1"/>
  <c r="Z11" i="5" s="1"/>
  <c r="P11" i="5" s="1"/>
  <c r="I63" i="18"/>
  <c r="D68" i="18" s="1"/>
  <c r="Z68" i="5" s="1"/>
  <c r="P68" i="5" s="1"/>
  <c r="D19" i="18"/>
  <c r="Z19" i="5" s="1"/>
  <c r="P19" i="5" s="1"/>
  <c r="D148" i="18"/>
  <c r="Z148" i="5" s="1"/>
  <c r="P148" i="5" s="1"/>
  <c r="D113" i="18"/>
  <c r="Z113" i="5" s="1"/>
  <c r="D116" i="18"/>
  <c r="Z116" i="5" s="1"/>
  <c r="P116" i="5" s="1"/>
  <c r="AT116" i="5" s="1"/>
  <c r="D114" i="18"/>
  <c r="Z114" i="5" s="1"/>
  <c r="P114" i="5" s="1"/>
  <c r="D117" i="18"/>
  <c r="Z117" i="5" s="1"/>
  <c r="P117" i="5" s="1"/>
  <c r="AT117" i="5" s="1"/>
  <c r="D177" i="18"/>
  <c r="Z177" i="5" s="1"/>
  <c r="P177" i="5" s="1"/>
  <c r="D182" i="18"/>
  <c r="Z182" i="5" s="1"/>
  <c r="D175" i="18"/>
  <c r="Z175" i="5" s="1"/>
  <c r="P175" i="5" s="1"/>
  <c r="I35" i="18"/>
  <c r="D40" i="18" s="1"/>
  <c r="Z40" i="5" s="1"/>
  <c r="P40" i="5" s="1"/>
  <c r="S41" i="4"/>
  <c r="S41" i="21"/>
  <c r="P167" i="5"/>
  <c r="K139" i="18"/>
  <c r="G139" i="18" s="1"/>
  <c r="I138" i="18" s="1"/>
  <c r="M121" i="20"/>
  <c r="N121" i="20" s="1"/>
  <c r="L93" i="20" s="1"/>
  <c r="P147" i="5"/>
  <c r="I183" i="18"/>
  <c r="Y51" i="21"/>
  <c r="Z51" i="21" s="1"/>
  <c r="Y51" i="4"/>
  <c r="Z51" i="4" s="1"/>
  <c r="D31" i="18"/>
  <c r="Z31" i="5" s="1"/>
  <c r="P31" i="5" s="1"/>
  <c r="D30" i="18"/>
  <c r="Z30" i="5" s="1"/>
  <c r="P30" i="5" s="1"/>
  <c r="D21" i="18"/>
  <c r="Z21" i="5" s="1"/>
  <c r="I48" i="18"/>
  <c r="D49" i="18" s="1"/>
  <c r="Z49" i="5" s="1"/>
  <c r="I100" i="18"/>
  <c r="D105" i="18" s="1"/>
  <c r="Z105" i="5" s="1"/>
  <c r="P105" i="5" s="1"/>
  <c r="D168" i="18"/>
  <c r="Z168" i="5" s="1"/>
  <c r="P168" i="5" s="1"/>
  <c r="D93" i="18"/>
  <c r="Z93" i="5" s="1"/>
  <c r="P93" i="5" s="1"/>
  <c r="D82" i="18"/>
  <c r="Z82" i="5" s="1"/>
  <c r="P82" i="5" s="1"/>
  <c r="D89" i="18"/>
  <c r="Z89" i="5" s="1"/>
  <c r="P89" i="5" s="1"/>
  <c r="D176" i="18"/>
  <c r="Z176" i="5" s="1"/>
  <c r="P176" i="5" s="1"/>
  <c r="P79" i="5"/>
  <c r="N93" i="20" l="1"/>
  <c r="I118" i="6" s="1"/>
  <c r="L118" i="6" s="1"/>
  <c r="Y10" i="5"/>
  <c r="AC10" i="5" s="1"/>
  <c r="Y146" i="5"/>
  <c r="AC146" i="5" s="1"/>
  <c r="T146" i="5" s="1"/>
  <c r="V60" i="4" s="1"/>
  <c r="W60" i="4" s="1"/>
  <c r="D64" i="18"/>
  <c r="Z64" i="5" s="1"/>
  <c r="P64" i="5" s="1"/>
  <c r="D74" i="18"/>
  <c r="Z74" i="5" s="1"/>
  <c r="P74" i="5" s="1"/>
  <c r="D101" i="18"/>
  <c r="Z101" i="5" s="1"/>
  <c r="D44" i="18"/>
  <c r="Z44" i="5" s="1"/>
  <c r="P44" i="5" s="1"/>
  <c r="D36" i="18"/>
  <c r="Z36" i="5" s="1"/>
  <c r="P36" i="5" s="1"/>
  <c r="T10" i="5"/>
  <c r="D47" i="18"/>
  <c r="Z47" i="5" s="1"/>
  <c r="P47" i="5" s="1"/>
  <c r="D104" i="18"/>
  <c r="Z104" i="5" s="1"/>
  <c r="P104" i="5" s="1"/>
  <c r="D54" i="18"/>
  <c r="Z54" i="5" s="1"/>
  <c r="P54" i="5" s="1"/>
  <c r="D59" i="18"/>
  <c r="Z59" i="5" s="1"/>
  <c r="P59" i="5" s="1"/>
  <c r="P101" i="5"/>
  <c r="Y166" i="5"/>
  <c r="P21" i="5"/>
  <c r="Y20" i="5"/>
  <c r="AC20" i="5" s="1"/>
  <c r="D139" i="18"/>
  <c r="Z139" i="5" s="1"/>
  <c r="D142" i="18"/>
  <c r="Z142" i="5" s="1"/>
  <c r="P142" i="5" s="1"/>
  <c r="Y78" i="5"/>
  <c r="AC78" i="5" s="1"/>
  <c r="P113" i="5"/>
  <c r="AT113" i="5" s="1"/>
  <c r="AC112" i="5"/>
  <c r="T112" i="5" s="1"/>
  <c r="K112" i="18" s="1"/>
  <c r="G112" i="18" s="1"/>
  <c r="P182" i="5"/>
  <c r="Y174" i="5"/>
  <c r="N174" i="5" s="1"/>
  <c r="D184" i="18"/>
  <c r="Z184" i="5" s="1"/>
  <c r="D192" i="18"/>
  <c r="Z192" i="5" s="1"/>
  <c r="P192" i="5" s="1"/>
  <c r="D188" i="18"/>
  <c r="Z188" i="5" s="1"/>
  <c r="P188" i="5" s="1"/>
  <c r="P49" i="5"/>
  <c r="N10" i="5"/>
  <c r="O10" i="5"/>
  <c r="K10" i="18" s="1"/>
  <c r="G10" i="18" s="1"/>
  <c r="O146" i="5" l="1"/>
  <c r="K146" i="18" s="1"/>
  <c r="G146" i="18" s="1"/>
  <c r="I125" i="6"/>
  <c r="L125" i="6" s="1"/>
  <c r="L116" i="6"/>
  <c r="E46" i="16" s="1"/>
  <c r="U41" i="4" s="1"/>
  <c r="Y41" i="4" s="1"/>
  <c r="X41" i="4" s="1"/>
  <c r="N146" i="5"/>
  <c r="V60" i="21"/>
  <c r="W60" i="21" s="1"/>
  <c r="Y63" i="5"/>
  <c r="N63" i="5" s="1"/>
  <c r="Y35" i="5"/>
  <c r="AC35" i="5" s="1"/>
  <c r="T35" i="5" s="1"/>
  <c r="O78" i="5"/>
  <c r="K78" i="18" s="1"/>
  <c r="G78" i="18" s="1"/>
  <c r="Z46" i="21"/>
  <c r="AW112" i="5"/>
  <c r="AU112" i="5" s="1"/>
  <c r="Y100" i="5"/>
  <c r="AC100" i="5" s="1"/>
  <c r="Y46" i="21"/>
  <c r="O43" i="21" s="1"/>
  <c r="Y183" i="5"/>
  <c r="Y46" i="4"/>
  <c r="O43" i="4" s="1"/>
  <c r="N20" i="5"/>
  <c r="Z46" i="4"/>
  <c r="Y48" i="5"/>
  <c r="AC48" i="5" s="1"/>
  <c r="T48" i="5" s="1"/>
  <c r="P139" i="5"/>
  <c r="Y138" i="5"/>
  <c r="AC138" i="5" s="1"/>
  <c r="P184" i="5"/>
  <c r="O20" i="5"/>
  <c r="K20" i="18" s="1"/>
  <c r="G20" i="18" s="1"/>
  <c r="T20" i="5"/>
  <c r="S50" i="4" s="1"/>
  <c r="T50" i="4" s="1"/>
  <c r="N166" i="5"/>
  <c r="O166" i="5"/>
  <c r="K166" i="18" s="1"/>
  <c r="G166" i="18" s="1"/>
  <c r="AC166" i="5"/>
  <c r="T166" i="5" s="1"/>
  <c r="T78" i="5"/>
  <c r="V50" i="21" s="1"/>
  <c r="W50" i="21" s="1"/>
  <c r="T100" i="5"/>
  <c r="N78" i="5"/>
  <c r="S49" i="4"/>
  <c r="S49" i="21"/>
  <c r="AC174" i="5"/>
  <c r="T174" i="5" s="1"/>
  <c r="Y61" i="4" s="1"/>
  <c r="Z61" i="4" s="1"/>
  <c r="O174" i="5"/>
  <c r="K174" i="18" s="1"/>
  <c r="G174" i="18" s="1"/>
  <c r="E85" i="17" l="1"/>
  <c r="E88" i="17" s="1"/>
  <c r="E89" i="17" s="1"/>
  <c r="L123" i="6"/>
  <c r="L135" i="6" s="1"/>
  <c r="L136" i="6" s="1"/>
  <c r="O100" i="5"/>
  <c r="K100" i="18" s="1"/>
  <c r="G100" i="18" s="1"/>
  <c r="U41" i="21"/>
  <c r="Y41" i="21" s="1"/>
  <c r="X41" i="21" s="1"/>
  <c r="E59" i="16"/>
  <c r="AC63" i="5"/>
  <c r="T63" i="5" s="1"/>
  <c r="V49" i="21" s="1"/>
  <c r="W49" i="21" s="1"/>
  <c r="O63" i="5"/>
  <c r="K63" i="18" s="1"/>
  <c r="G63" i="18" s="1"/>
  <c r="N100" i="5"/>
  <c r="N35" i="5"/>
  <c r="O35" i="5"/>
  <c r="K35" i="18" s="1"/>
  <c r="G35" i="18" s="1"/>
  <c r="O48" i="5"/>
  <c r="K48" i="18" s="1"/>
  <c r="G48" i="18" s="1"/>
  <c r="N48" i="5"/>
  <c r="Z9" i="21"/>
  <c r="V49" i="4"/>
  <c r="W49" i="4" s="1"/>
  <c r="Z9" i="4"/>
  <c r="T138" i="5"/>
  <c r="O138" i="5"/>
  <c r="K138" i="18" s="1"/>
  <c r="G138" i="18" s="1"/>
  <c r="N138" i="5"/>
  <c r="S50" i="21"/>
  <c r="T50" i="21" s="1"/>
  <c r="N183" i="5"/>
  <c r="AC183" i="5"/>
  <c r="O183" i="5"/>
  <c r="K183" i="18" s="1"/>
  <c r="G183" i="18" s="1"/>
  <c r="V62" i="21"/>
  <c r="W62" i="21" s="1"/>
  <c r="V62" i="4"/>
  <c r="W62" i="4" s="1"/>
  <c r="V50" i="4"/>
  <c r="W50" i="4" s="1"/>
  <c r="V51" i="21"/>
  <c r="W51" i="21" s="1"/>
  <c r="V51" i="4"/>
  <c r="W51" i="4" s="1"/>
  <c r="S52" i="4"/>
  <c r="T52" i="4" s="1"/>
  <c r="S52" i="21"/>
  <c r="T52" i="21" s="1"/>
  <c r="S51" i="21"/>
  <c r="T51" i="21" s="1"/>
  <c r="S51" i="4"/>
  <c r="T51" i="4" s="1"/>
  <c r="R54" i="21"/>
  <c r="T49" i="21"/>
  <c r="T49" i="4"/>
  <c r="R54" i="4"/>
  <c r="Y61" i="21"/>
  <c r="Z61" i="21" s="1"/>
  <c r="I62" i="18" l="1"/>
  <c r="D78" i="18" s="1"/>
  <c r="Z78" i="5" s="1"/>
  <c r="P78" i="5" s="1"/>
  <c r="AT78" i="5" s="1"/>
  <c r="E47" i="16"/>
  <c r="E52" i="16" s="1"/>
  <c r="T183" i="5"/>
  <c r="Y62" i="21" s="1"/>
  <c r="Z62" i="21" s="1"/>
  <c r="I9" i="18"/>
  <c r="D35" i="18" s="1"/>
  <c r="Z35" i="5" s="1"/>
  <c r="P35" i="5" s="1"/>
  <c r="AT35" i="5" s="1"/>
  <c r="D100" i="18"/>
  <c r="Z100" i="5" s="1"/>
  <c r="P100" i="5" s="1"/>
  <c r="AT100" i="5" s="1"/>
  <c r="S63" i="4"/>
  <c r="T63" i="4" s="1"/>
  <c r="S63" i="21"/>
  <c r="T63" i="21" s="1"/>
  <c r="D63" i="18" l="1"/>
  <c r="Z63" i="5" s="1"/>
  <c r="P63" i="5" s="1"/>
  <c r="AT63" i="5" s="1"/>
  <c r="AW62" i="5" s="1"/>
  <c r="AU62" i="5" s="1"/>
  <c r="V42" i="4"/>
  <c r="Y42" i="4" s="1"/>
  <c r="X42" i="4" s="1"/>
  <c r="T36" i="4" s="1"/>
  <c r="S36" i="4" s="1"/>
  <c r="S37" i="4" s="1"/>
  <c r="V42" i="21"/>
  <c r="Y42" i="21" s="1"/>
  <c r="X42" i="21" s="1"/>
  <c r="T36" i="21" s="1"/>
  <c r="S36" i="21" s="1"/>
  <c r="S37" i="21" s="1"/>
  <c r="Y62" i="4"/>
  <c r="Z62" i="4" s="1"/>
  <c r="D48" i="18"/>
  <c r="Z48" i="5" s="1"/>
  <c r="P48" i="5" s="1"/>
  <c r="AT48" i="5" s="1"/>
  <c r="D10" i="18"/>
  <c r="Z10" i="5" s="1"/>
  <c r="P10" i="5" s="1"/>
  <c r="AT10" i="5" s="1"/>
  <c r="D20" i="18"/>
  <c r="Z20" i="5" s="1"/>
  <c r="P20" i="5" s="1"/>
  <c r="AT20" i="5" s="1"/>
  <c r="W43" i="21"/>
  <c r="Y43" i="21" s="1"/>
  <c r="X43" i="21" s="1"/>
  <c r="J16" i="14"/>
  <c r="K16" i="14" s="1"/>
  <c r="L16" i="14" s="1"/>
  <c r="O15" i="14" s="1"/>
  <c r="F7" i="14" s="1"/>
  <c r="W43" i="4"/>
  <c r="Y43" i="4" s="1"/>
  <c r="X43" i="4" s="1"/>
  <c r="AC62" i="5" l="1"/>
  <c r="T62" i="5" s="1"/>
  <c r="V46" i="4" s="1"/>
  <c r="Z8" i="4" s="1"/>
  <c r="AC9" i="5"/>
  <c r="T9" i="5" s="1"/>
  <c r="S46" i="4" s="1"/>
  <c r="Z13" i="4" s="1"/>
  <c r="AW9" i="5"/>
  <c r="AU9" i="5" s="1"/>
  <c r="F11" i="14"/>
  <c r="V173" i="5"/>
  <c r="F9" i="14"/>
  <c r="F10" i="14"/>
  <c r="F8" i="14"/>
  <c r="F12" i="14"/>
  <c r="J5" i="14"/>
  <c r="T46" i="4"/>
  <c r="K43" i="4" l="1"/>
  <c r="K62" i="18"/>
  <c r="G62" i="18" s="1"/>
  <c r="W46" i="21"/>
  <c r="W46" i="4"/>
  <c r="V46" i="21"/>
  <c r="Z8" i="21" s="1"/>
  <c r="T46" i="21"/>
  <c r="AW173" i="5"/>
  <c r="AS173" i="5" s="1"/>
  <c r="Y173" i="5"/>
  <c r="K9" i="18"/>
  <c r="G9" i="18" s="1"/>
  <c r="S46" i="21"/>
  <c r="Z13" i="21" s="1"/>
  <c r="G43" i="4"/>
  <c r="I8" i="18" l="1"/>
  <c r="D112" i="18" s="1"/>
  <c r="Z112" i="5" s="1"/>
  <c r="P112" i="5" s="1"/>
  <c r="AT112" i="5" s="1"/>
  <c r="K43" i="21"/>
  <c r="O173" i="5"/>
  <c r="K173" i="18" s="1"/>
  <c r="G173" i="18" s="1"/>
  <c r="I172" i="18" s="1"/>
  <c r="D183" i="18" s="1"/>
  <c r="Z183" i="5" s="1"/>
  <c r="P183" i="5" s="1"/>
  <c r="AT183" i="5" s="1"/>
  <c r="AC173" i="5"/>
  <c r="T173" i="5" s="1"/>
  <c r="G43" i="21"/>
  <c r="D9" i="18" l="1"/>
  <c r="Z9" i="5" s="1"/>
  <c r="P9" i="5" s="1"/>
  <c r="AT9" i="5" s="1"/>
  <c r="D62" i="18"/>
  <c r="D174" i="18"/>
  <c r="Z174" i="5" s="1"/>
  <c r="P174" i="5" s="1"/>
  <c r="AT174" i="5" s="1"/>
  <c r="D173" i="18"/>
  <c r="Z173" i="5" s="1"/>
  <c r="P173" i="5" s="1"/>
  <c r="AT173" i="5" s="1"/>
  <c r="Y60" i="21"/>
  <c r="Z60" i="21" s="1"/>
  <c r="Y60" i="4"/>
  <c r="Z60" i="4" s="1"/>
  <c r="Z62" i="5"/>
  <c r="P62" i="5" s="1"/>
  <c r="AT62" i="5" s="1"/>
  <c r="AW172" i="5" l="1"/>
  <c r="AU172" i="5" s="1"/>
  <c r="AC172" i="5"/>
  <c r="T172" i="5" s="1"/>
  <c r="AW8" i="5"/>
  <c r="AU8" i="5" s="1"/>
  <c r="AC8" i="5"/>
  <c r="T8" i="5" s="1"/>
  <c r="N41" i="21" s="1"/>
  <c r="O165" i="5"/>
  <c r="K165" i="18" l="1"/>
  <c r="G165" i="18" s="1"/>
  <c r="I151" i="18" s="1"/>
  <c r="Z57" i="21"/>
  <c r="Z57" i="4"/>
  <c r="Y57" i="4"/>
  <c r="K172" i="18"/>
  <c r="G172" i="18" s="1"/>
  <c r="Y57" i="21"/>
  <c r="S7" i="21"/>
  <c r="S9" i="21" s="1"/>
  <c r="T25" i="21" s="1"/>
  <c r="U27" i="21" s="1"/>
  <c r="S7" i="4"/>
  <c r="S9" i="4" s="1"/>
  <c r="T25" i="4" s="1"/>
  <c r="T27" i="4" s="1"/>
  <c r="N41" i="4"/>
  <c r="D152" i="18" l="1"/>
  <c r="Z152" i="5" s="1"/>
  <c r="D155" i="18"/>
  <c r="Z155" i="5" s="1"/>
  <c r="P155" i="5" s="1"/>
  <c r="D154" i="18"/>
  <c r="Z154" i="5" s="1"/>
  <c r="P154" i="5" s="1"/>
  <c r="D157" i="18"/>
  <c r="Z157" i="5" s="1"/>
  <c r="P157" i="5" s="1"/>
  <c r="D153" i="18"/>
  <c r="Z153" i="5" s="1"/>
  <c r="P153" i="5" s="1"/>
  <c r="D156" i="18"/>
  <c r="Z156" i="5" s="1"/>
  <c r="P156" i="5" s="1"/>
  <c r="D165" i="18"/>
  <c r="Z165" i="5" s="1"/>
  <c r="P165" i="5" s="1"/>
  <c r="D158" i="18"/>
  <c r="Z158" i="5" s="1"/>
  <c r="P158" i="5" s="1"/>
  <c r="Z10" i="21"/>
  <c r="O54" i="21"/>
  <c r="Z10" i="4"/>
  <c r="O54" i="4"/>
  <c r="T27" i="21"/>
  <c r="U27" i="4"/>
  <c r="P152" i="5"/>
  <c r="Y151" i="5" l="1"/>
  <c r="AC151" i="5" s="1"/>
  <c r="T151" i="5" s="1"/>
  <c r="N151" i="5" l="1"/>
  <c r="O151" i="5"/>
  <c r="K151" i="18" s="1"/>
  <c r="G151" i="18" s="1"/>
  <c r="I145" i="18" s="1"/>
  <c r="D166" i="18" s="1"/>
  <c r="Z166" i="5" s="1"/>
  <c r="P166" i="5" s="1"/>
  <c r="AT166" i="5" s="1"/>
  <c r="V61" i="4"/>
  <c r="W61" i="4" s="1"/>
  <c r="V61" i="21"/>
  <c r="W61" i="21" s="1"/>
  <c r="D151" i="18" l="1"/>
  <c r="Z151" i="5" s="1"/>
  <c r="P151" i="5" s="1"/>
  <c r="AT151" i="5" s="1"/>
  <c r="D146" i="18"/>
  <c r="Z146" i="5" s="1"/>
  <c r="AC145" i="5" l="1"/>
  <c r="W57" i="21" s="1"/>
  <c r="P146" i="5"/>
  <c r="AT146" i="5" s="1"/>
  <c r="AW145" i="5" s="1"/>
  <c r="AU145" i="5" s="1"/>
  <c r="T145" i="5"/>
  <c r="W57" i="4"/>
  <c r="K145" i="18" l="1"/>
  <c r="G145" i="18" s="1"/>
  <c r="V57" i="21"/>
  <c r="V57" i="4"/>
  <c r="Z11" i="4" l="1"/>
  <c r="K54" i="4"/>
  <c r="Z11" i="21"/>
  <c r="K54" i="21"/>
  <c r="G76" i="20"/>
  <c r="G77" i="20" l="1"/>
  <c r="H75" i="20" l="1"/>
  <c r="H76" i="20"/>
  <c r="H74" i="20"/>
  <c r="K77" i="20"/>
  <c r="H77" i="20" l="1"/>
  <c r="J77" i="20"/>
  <c r="H37" i="20" s="1"/>
  <c r="F47" i="11" s="1"/>
  <c r="F51" i="11" s="1"/>
  <c r="F49" i="11" l="1"/>
  <c r="F50" i="11"/>
  <c r="F48" i="11"/>
  <c r="J44" i="11"/>
  <c r="V129" i="5"/>
  <c r="AW129" i="5" s="1"/>
  <c r="AS129" i="5" s="1"/>
  <c r="F52" i="11"/>
  <c r="Y129" i="5" l="1"/>
  <c r="AC129" i="5" s="1"/>
  <c r="T129" i="5" s="1"/>
  <c r="S62" i="4" s="1"/>
  <c r="T62" i="4" s="1"/>
  <c r="S62" i="21" l="1"/>
  <c r="T62" i="21" s="1"/>
  <c r="O129" i="5"/>
  <c r="K129" i="18" s="1"/>
  <c r="G129" i="18" s="1"/>
  <c r="I122" i="18" s="1"/>
  <c r="D124" i="18" s="1"/>
  <c r="Z124" i="5" s="1"/>
  <c r="P124" i="5" s="1"/>
  <c r="AT124" i="5" s="1"/>
  <c r="D129" i="18" l="1"/>
  <c r="Z129" i="5" s="1"/>
  <c r="P129" i="5" s="1"/>
  <c r="AT129" i="5" s="1"/>
  <c r="D123" i="18"/>
  <c r="Z123" i="5" s="1"/>
  <c r="P123" i="5" s="1"/>
  <c r="AT123" i="5" s="1"/>
  <c r="D138" i="18"/>
  <c r="Z138" i="5" s="1"/>
  <c r="P138" i="5" s="1"/>
  <c r="AT138" i="5" s="1"/>
  <c r="AW122" i="5" l="1"/>
  <c r="AU122" i="5" s="1"/>
  <c r="AC122" i="5"/>
  <c r="T57" i="21" s="1"/>
  <c r="T57" i="4" l="1"/>
  <c r="T122" i="5"/>
  <c r="K122" i="18" s="1"/>
  <c r="G122" i="18" s="1"/>
  <c r="I121" i="18" s="1"/>
  <c r="D145" i="18" s="1"/>
  <c r="Z145" i="5" s="1"/>
  <c r="P145" i="5" s="1"/>
  <c r="AT145" i="5" s="1"/>
  <c r="S57" i="21" l="1"/>
  <c r="G54" i="21" s="1"/>
  <c r="D122" i="18"/>
  <c r="Z122" i="5" s="1"/>
  <c r="S57" i="4"/>
  <c r="G54" i="4" s="1"/>
  <c r="D172" i="18"/>
  <c r="Z172" i="5" s="1"/>
  <c r="P172" i="5" s="1"/>
  <c r="AT172" i="5" s="1"/>
  <c r="AC121" i="5" l="1"/>
  <c r="T121" i="5" s="1"/>
  <c r="Z12" i="4"/>
  <c r="Z12" i="21"/>
  <c r="P122" i="5"/>
  <c r="AT122" i="5" s="1"/>
  <c r="AW121" i="5" s="1"/>
  <c r="AU121" i="5" s="1"/>
  <c r="S8" i="21" l="1"/>
  <c r="S10" i="21" s="1"/>
  <c r="T24" i="21" s="1"/>
  <c r="S8" i="4"/>
  <c r="S10" i="4" s="1"/>
  <c r="T24" i="4" s="1"/>
  <c r="K121" i="18"/>
  <c r="G121" i="18" s="1"/>
  <c r="N52" i="4"/>
  <c r="N52" i="21"/>
  <c r="S11" i="21" l="1"/>
  <c r="S11" i="4"/>
  <c r="S12" i="4" s="1"/>
  <c r="C25" i="4" s="1"/>
  <c r="S12" i="21"/>
  <c r="C25" i="21" s="1"/>
  <c r="T26" i="21"/>
  <c r="S26" i="21"/>
  <c r="T26" i="4"/>
  <c r="S26" i="4"/>
  <c r="S13" i="21" l="1"/>
  <c r="S14" i="21" s="1"/>
  <c r="S13" i="4"/>
  <c r="S14" i="4" s="1"/>
</calcChain>
</file>

<file path=xl/comments1.xml><?xml version="1.0" encoding="utf-8"?>
<comments xmlns="http://schemas.openxmlformats.org/spreadsheetml/2006/main">
  <authors>
    <author xml:space="preserve">日建設計 </author>
    <author>Junko ENDO</author>
  </authors>
  <commentList>
    <comment ref="C15" authorId="0" shapeId="0">
      <text>
        <r>
          <rPr>
            <sz val="9"/>
            <color indexed="81"/>
            <rFont val="ＭＳ Ｐゴシック"/>
            <family val="3"/>
            <charset val="128"/>
          </rPr>
          <t>2003/6等と入力して下さい。
2003年6月と表示されます。</t>
        </r>
      </text>
    </comment>
    <comment ref="C39" authorId="0" shapeId="0">
      <text>
        <r>
          <rPr>
            <sz val="9"/>
            <color indexed="81"/>
            <rFont val="ＭＳ Ｐゴシック"/>
            <family val="3"/>
            <charset val="128"/>
          </rPr>
          <t>2003/6/15等と入力して下さい。
2003年6月15日と表示されます。</t>
        </r>
      </text>
    </comment>
    <comment ref="B41" authorId="1" shapeId="0">
      <text>
        <r>
          <rPr>
            <sz val="9"/>
            <color indexed="81"/>
            <rFont val="ＭＳ Ｐゴシック"/>
            <family val="3"/>
            <charset val="128"/>
          </rPr>
          <t>第３者による評価結果の確認などを行っている場合は記述する。</t>
        </r>
      </text>
    </comment>
    <comment ref="C41" authorId="0" shapeId="0">
      <text>
        <r>
          <rPr>
            <sz val="9"/>
            <color indexed="81"/>
            <rFont val="ＭＳ Ｐゴシック"/>
            <family val="3"/>
            <charset val="128"/>
          </rPr>
          <t>2003/6/15等と入力して下さい。
2003年6月15日と表示されます。</t>
        </r>
      </text>
    </comment>
    <comment ref="F68" authorId="0" shapeId="0">
      <text>
        <r>
          <rPr>
            <sz val="9"/>
            <color indexed="81"/>
            <rFont val="ＭＳ Ｐゴシック"/>
            <family val="3"/>
            <charset val="128"/>
          </rPr>
          <t>小数値(「0.9」など)で
比率を入力して下さい。</t>
        </r>
      </text>
    </comment>
    <comment ref="F69" authorId="0" shapeId="0">
      <text>
        <r>
          <rPr>
            <sz val="9"/>
            <color indexed="81"/>
            <rFont val="ＭＳ Ｐゴシック"/>
            <family val="3"/>
            <charset val="128"/>
          </rPr>
          <t>小数値(「0.9」など)で
比率を入力して下さい。</t>
        </r>
      </text>
    </comment>
  </commentList>
</comments>
</file>

<file path=xl/comments2.xml><?xml version="1.0" encoding="utf-8"?>
<comments xmlns="http://schemas.openxmlformats.org/spreadsheetml/2006/main">
  <authors>
    <author>-</author>
  </authors>
  <commentList>
    <comment ref="N131" authorId="0" shapeId="0">
      <text>
        <r>
          <rPr>
            <b/>
            <sz val="9"/>
            <color indexed="81"/>
            <rFont val="ＭＳ Ｐゴシック"/>
            <family val="3"/>
            <charset val="128"/>
          </rPr>
          <t>専有部と共用部(3aによる評価)の床面積による加重平均</t>
        </r>
      </text>
    </comment>
    <comment ref="O131" authorId="0" shapeId="0">
      <text>
        <r>
          <rPr>
            <b/>
            <sz val="9"/>
            <color indexed="81"/>
            <rFont val="ＭＳ Ｐゴシック"/>
            <family val="3"/>
            <charset val="128"/>
          </rPr>
          <t>専有部と共用部(3aによる評価)の床面積による加重平均</t>
        </r>
      </text>
    </comment>
  </commentList>
</comments>
</file>

<file path=xl/comments3.xml><?xml version="1.0" encoding="utf-8"?>
<comments xmlns="http://schemas.openxmlformats.org/spreadsheetml/2006/main">
  <authors>
    <author xml:space="preserve"> </author>
  </authors>
  <commentList>
    <comment ref="F3" authorId="0" shape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author>
  </authors>
  <commentList>
    <comment ref="F16" authorId="0" shapeId="0">
      <text>
        <r>
          <rPr>
            <b/>
            <sz val="9"/>
            <color indexed="81"/>
            <rFont val="ＭＳ Ｐゴシック"/>
            <family val="3"/>
            <charset val="128"/>
          </rPr>
          <t>住宅部分と非住宅部分の床面積による加重平均（小数第2位で切捨）</t>
        </r>
      </text>
    </comment>
  </commentList>
</comments>
</file>

<file path=xl/comments5.xml><?xml version="1.0" encoding="utf-8"?>
<comments xmlns="http://schemas.openxmlformats.org/spreadsheetml/2006/main">
  <authors>
    <author>junko_000</author>
  </authors>
  <commentList>
    <comment ref="H23" authorId="0" shapeId="0">
      <text>
        <r>
          <rPr>
            <b/>
            <sz val="9"/>
            <color indexed="81"/>
            <rFont val="ＭＳ Ｐゴシック"/>
            <family val="3"/>
            <charset val="128"/>
          </rPr>
          <t>下記（１）（２）（３）で評価する場合は空欄</t>
        </r>
      </text>
    </comment>
    <comment ref="G46" authorId="0" shapeId="0">
      <text>
        <r>
          <rPr>
            <b/>
            <sz val="9"/>
            <color indexed="81"/>
            <rFont val="ＭＳ Ｐゴシック"/>
            <family val="3"/>
            <charset val="128"/>
          </rPr>
          <t>住宅面積のうち、算定プログラムで評価した住戸の面積と共用部の面積の合計</t>
        </r>
      </text>
    </comment>
    <comment ref="K82" authorId="0" shapeId="0">
      <text>
        <r>
          <rPr>
            <b/>
            <sz val="9"/>
            <color indexed="81"/>
            <rFont val="ＭＳ Ｐゴシック"/>
            <family val="3"/>
            <charset val="128"/>
          </rPr>
          <t>算定プログラムを使わない場合は空欄</t>
        </r>
      </text>
    </comment>
    <comment ref="K83" authorId="0" shapeId="0">
      <text>
        <r>
          <rPr>
            <b/>
            <sz val="9"/>
            <color indexed="81"/>
            <rFont val="ＭＳ Ｐゴシック"/>
            <family val="3"/>
            <charset val="128"/>
          </rPr>
          <t>算定プログラムを使わない場合は空欄</t>
        </r>
      </text>
    </comment>
  </commentList>
</comments>
</file>

<file path=xl/comments6.xml><?xml version="1.0" encoding="utf-8"?>
<comments xmlns="http://schemas.openxmlformats.org/spreadsheetml/2006/main">
  <authors>
    <author xml:space="preserve"> </author>
  </authors>
  <commentList>
    <comment ref="D48" authorId="0" shapeId="0">
      <text>
        <r>
          <rPr>
            <sz val="9"/>
            <color indexed="81"/>
            <rFont val="ＭＳ Ｐゴシック"/>
            <family val="3"/>
            <charset val="128"/>
          </rPr>
          <t>下表＜参考＞　[1]の数値を利用できる。</t>
        </r>
      </text>
    </comment>
    <comment ref="D56" authorId="0" shapeId="0">
      <text>
        <r>
          <rPr>
            <sz val="9"/>
            <color indexed="81"/>
            <rFont val="ＭＳ Ｐゴシック"/>
            <family val="3"/>
            <charset val="128"/>
          </rPr>
          <t>下表＜参考＞　[2]の数値を利用できる。</t>
        </r>
      </text>
    </comment>
  </commentList>
</comments>
</file>

<file path=xl/sharedStrings.xml><?xml version="1.0" encoding="utf-8"?>
<sst xmlns="http://schemas.openxmlformats.org/spreadsheetml/2006/main" count="8189" uniqueCount="3572">
  <si>
    <t>内装計画</t>
    <rPh sb="0" eb="2">
      <t>ナイソウ</t>
    </rPh>
    <rPh sb="2" eb="4">
      <t>ケイカク</t>
    </rPh>
    <phoneticPr fontId="22"/>
  </si>
  <si>
    <t>維持管理</t>
    <rPh sb="0" eb="2">
      <t>イジ</t>
    </rPh>
    <rPh sb="2" eb="4">
      <t>カンリ</t>
    </rPh>
    <phoneticPr fontId="22"/>
  </si>
  <si>
    <t>維持管理に配慮した設計</t>
  </si>
  <si>
    <t>維持管理用機能の確保</t>
  </si>
  <si>
    <t>衛生管理業務</t>
    <rPh sb="0" eb="2">
      <t>エイセイ</t>
    </rPh>
    <rPh sb="2" eb="4">
      <t>カンリ</t>
    </rPh>
    <rPh sb="4" eb="6">
      <t>ギョウム</t>
    </rPh>
    <phoneticPr fontId="22"/>
  </si>
  <si>
    <t>耐用性・信頼性</t>
    <rPh sb="0" eb="3">
      <t>ﾀｲﾖｳｾｲ</t>
    </rPh>
    <rPh sb="4" eb="6">
      <t>ｼﾝﾗｲ</t>
    </rPh>
    <rPh sb="6" eb="7">
      <t>ｾｲ</t>
    </rPh>
    <phoneticPr fontId="35" type="noConversion"/>
  </si>
  <si>
    <t>尚、認定されたリサイクル資材は随時更新されているので、下記のHPを確認し評価を行うこと。</t>
    <rPh sb="0" eb="1">
      <t>ナオ</t>
    </rPh>
    <rPh sb="2" eb="4">
      <t>ニンテイ</t>
    </rPh>
    <rPh sb="12" eb="14">
      <t>シザイ</t>
    </rPh>
    <rPh sb="15" eb="17">
      <t>ズイジ</t>
    </rPh>
    <rPh sb="17" eb="19">
      <t>コウシン</t>
    </rPh>
    <rPh sb="27" eb="29">
      <t>カキ</t>
    </rPh>
    <rPh sb="33" eb="35">
      <t>カクニン</t>
    </rPh>
    <rPh sb="36" eb="38">
      <t>ヒョウカ</t>
    </rPh>
    <rPh sb="39" eb="40">
      <t>オコナ</t>
    </rPh>
    <phoneticPr fontId="22"/>
  </si>
  <si>
    <t>リサイクル資材を用いていない。</t>
    <rPh sb="8" eb="9">
      <t>モチ</t>
    </rPh>
    <phoneticPr fontId="22"/>
  </si>
  <si>
    <t>レベル３以上は、スコアシートに採用したリサイクル資材名を記述</t>
    <rPh sb="4" eb="6">
      <t>イジョウ</t>
    </rPh>
    <rPh sb="15" eb="17">
      <t>サイヨウ</t>
    </rPh>
    <rPh sb="24" eb="26">
      <t>シザイ</t>
    </rPh>
    <rPh sb="26" eb="27">
      <t>メイ</t>
    </rPh>
    <rPh sb="28" eb="30">
      <t>キジュツ</t>
    </rPh>
    <phoneticPr fontId="22"/>
  </si>
  <si>
    <t>リサイクル資材を１品目用いている。</t>
    <rPh sb="9" eb="11">
      <t>ヒンモク</t>
    </rPh>
    <rPh sb="11" eb="12">
      <t>モチ</t>
    </rPh>
    <phoneticPr fontId="22"/>
  </si>
  <si>
    <t>リサイクル資材を２品目用いている。</t>
    <rPh sb="9" eb="11">
      <t>ヒンモク</t>
    </rPh>
    <rPh sb="11" eb="12">
      <t>モチ</t>
    </rPh>
    <phoneticPr fontId="22"/>
  </si>
  <si>
    <t>リサイクル資材を３品目以上用いている。</t>
    <rPh sb="9" eb="11">
      <t>ヒンモク</t>
    </rPh>
    <rPh sb="11" eb="13">
      <t>イジョウ</t>
    </rPh>
    <rPh sb="13" eb="14">
      <t>モチ</t>
    </rPh>
    <phoneticPr fontId="22"/>
  </si>
  <si>
    <t>グリーン調達品目</t>
    <rPh sb="4" eb="6">
      <t>チョウタツ</t>
    </rPh>
    <rPh sb="6" eb="8">
      <t>ヒンモク</t>
    </rPh>
    <phoneticPr fontId="22"/>
  </si>
  <si>
    <t>建設汚泥再生処理土</t>
    <rPh sb="0" eb="2">
      <t>ケンセツ</t>
    </rPh>
    <rPh sb="2" eb="4">
      <t>オデイ</t>
    </rPh>
    <rPh sb="4" eb="6">
      <t>サイセイ</t>
    </rPh>
    <rPh sb="6" eb="8">
      <t>ショリ</t>
    </rPh>
    <rPh sb="8" eb="9">
      <t>ツチ</t>
    </rPh>
    <phoneticPr fontId="22"/>
  </si>
  <si>
    <t>土工用高炉水砕フラグ</t>
    <rPh sb="0" eb="2">
      <t>ドコウ</t>
    </rPh>
    <rPh sb="2" eb="3">
      <t>ヨウ</t>
    </rPh>
    <rPh sb="3" eb="5">
      <t>コウロ</t>
    </rPh>
    <rPh sb="5" eb="6">
      <t>ミズ</t>
    </rPh>
    <rPh sb="6" eb="7">
      <t>クダ</t>
    </rPh>
    <phoneticPr fontId="22"/>
  </si>
  <si>
    <t>銅スラグを用いたケーソン中詰め材</t>
    <rPh sb="0" eb="1">
      <t>ドウ</t>
    </rPh>
    <rPh sb="5" eb="6">
      <t>モチ</t>
    </rPh>
    <rPh sb="12" eb="13">
      <t>ナカ</t>
    </rPh>
    <rPh sb="13" eb="14">
      <t>ヅ</t>
    </rPh>
    <rPh sb="15" eb="16">
      <t>ザイ</t>
    </rPh>
    <phoneticPr fontId="22"/>
  </si>
  <si>
    <t>[照度]＜300lx、または1000lx≦[照度]</t>
  </si>
  <si>
    <t>自動制御ブラインド等によりグレアを制御。</t>
    <rPh sb="9" eb="10">
      <t>トウ</t>
    </rPh>
    <phoneticPr fontId="22"/>
  </si>
  <si>
    <t>確実な対策を行うために、レベル４を超える特別な配慮を行っている。かつ、それらの設備のメンテナンスが容易な計画となっている。</t>
    <phoneticPr fontId="22"/>
  </si>
  <si>
    <t>窓が開閉不可能な居室において、自然換気有効開口面積が25cm2/m2以上。あるいは、窓が開閉可能な居室において、自然換気有効開口面積が居室床面積の1/30以上。あるいは、必要外気量の２倍以上の外気冷房の採用により室内空気質の向上が期待できる。</t>
  </si>
  <si>
    <t>窓が開閉不可能な居室において、自然換気有効開口面積が50cm2/m2以上。あるいは、窓が開閉可能な居室において、自然換気有効開口面積が居室床面積の1/15以上。あるいは、レベル４の自然換気有効開口面積を満たし、かつ必要外気量の２倍以上の外気冷房の採用により室内空気質の向上が期待できる。</t>
  </si>
  <si>
    <t>自然換気有効開口面積が居室床面積の1/20以上</t>
  </si>
  <si>
    <t>自然換気有効開口面積が居室床面積の1/15以上</t>
  </si>
  <si>
    <t>自然換気有効開口面積が居室床面積の1/10以上</t>
  </si>
  <si>
    <t>学（小中高）</t>
    <phoneticPr fontId="22"/>
  </si>
  <si>
    <t>リフレッシュスペースがない。</t>
  </si>
  <si>
    <t>リフレッシュスペースが執務スペースの1％以上</t>
  </si>
  <si>
    <t>執務スペースの1％以上のリフレッシュスペース＋自動販売機等の設置</t>
  </si>
  <si>
    <t>レベル３を満たさない。</t>
    <rPh sb="5" eb="6">
      <t>ミ</t>
    </rPh>
    <phoneticPr fontId="22"/>
  </si>
  <si>
    <t>③　内装設計：床面は適度な水を使用して洗浄可能な設計・構造を採用している。</t>
    <phoneticPr fontId="22"/>
  </si>
  <si>
    <t>②　清掃用資材の洗い場を設置し、安全な排水設備への排水経路を確保している。
※病院建築物においては上記に加え、病床数に応じた清掃資材用の洗濯機を設置するスペースを確保している。</t>
    <phoneticPr fontId="22"/>
  </si>
  <si>
    <t>事・学(大学等)・物・飲・会・病・ホ・工・住</t>
    <rPh sb="4" eb="6">
      <t>ダイガク</t>
    </rPh>
    <rPh sb="6" eb="7">
      <t>トウ</t>
    </rPh>
    <phoneticPr fontId="22"/>
  </si>
  <si>
    <t>（該当するレベルなし）</t>
    <phoneticPr fontId="22"/>
  </si>
  <si>
    <t>建築基準法に定められた耐震性を有する。</t>
    <phoneticPr fontId="22"/>
  </si>
  <si>
    <t>建築基準法に定められた25％増の耐震性を有する。</t>
    <phoneticPr fontId="22"/>
  </si>
  <si>
    <t>⑦災害などの停電時に飲料用等に使えるよう受水槽に水道の蛇口を設置している。</t>
    <phoneticPr fontId="22"/>
  </si>
  <si>
    <t>評価する取組みが3つ。</t>
    <phoneticPr fontId="22"/>
  </si>
  <si>
    <t>評価する取組みが4つ以上。</t>
    <phoneticPr fontId="22"/>
  </si>
  <si>
    <t>評価する取組みが3つ以上。</t>
    <phoneticPr fontId="22"/>
  </si>
  <si>
    <t>取組数</t>
    <rPh sb="0" eb="2">
      <t>トリクミ</t>
    </rPh>
    <rPh sb="2" eb="3">
      <t>スウ</t>
    </rPh>
    <phoneticPr fontId="22"/>
  </si>
  <si>
    <t>①非常用発電設備を備えている。</t>
    <phoneticPr fontId="22"/>
  </si>
  <si>
    <t>事・学・物・飲・会・病・ホ・工・住</t>
    <phoneticPr fontId="22"/>
  </si>
  <si>
    <t>事・学・物・飲・会・病・ホ・工・住【&lt;2000㎡】</t>
    <phoneticPr fontId="22"/>
  </si>
  <si>
    <t>評価する取組みが1つまたは2つ。</t>
    <phoneticPr fontId="22"/>
  </si>
  <si>
    <t>③重要設備系の受電設備の二重化を行っている。</t>
    <phoneticPr fontId="22"/>
  </si>
  <si>
    <t>④電源設備・精密機械（住宅の場合は、ブレーカー、分電盤等）の浸水による停電や情報網の損傷を回避するために、ア)あるいはイ)の対策を講じている、あるいはウ)に該当している。
ア) 電源設備・精密機械の地下空間への設置を避けている
イ) 地下への浸水の防止措置(防水扉、防水板、マウンドアップ、からぼり)、排水設備(ポンプ等)を設置している。
ウ) 浸水の危険性がない。
（延べ面積2000㎡未満は適用外）</t>
    <phoneticPr fontId="22"/>
  </si>
  <si>
    <t>⑤電源車接続時に利用可能な用の照明等の配線が設置されている。</t>
    <phoneticPr fontId="22"/>
  </si>
  <si>
    <t>⑥異なる変電所からの引き込みを二重化している。</t>
    <phoneticPr fontId="22"/>
  </si>
  <si>
    <t>事・学・物・飲・会・病・ホ・工・住</t>
    <rPh sb="0" eb="1">
      <t>ジ</t>
    </rPh>
    <rPh sb="2" eb="3">
      <t>ガク</t>
    </rPh>
    <rPh sb="4" eb="5">
      <t>モノ</t>
    </rPh>
    <rPh sb="6" eb="7">
      <t>オン</t>
    </rPh>
    <rPh sb="8" eb="9">
      <t>カイ</t>
    </rPh>
    <rPh sb="10" eb="11">
      <t>ヤマイ</t>
    </rPh>
    <rPh sb="14" eb="15">
      <t>コウ</t>
    </rPh>
    <rPh sb="16" eb="17">
      <t>スミ</t>
    </rPh>
    <phoneticPr fontId="22"/>
  </si>
  <si>
    <t>事・学・物・飲・会・病・ホ・工・住【&lt;2000㎡】</t>
    <rPh sb="0" eb="1">
      <t>ジ</t>
    </rPh>
    <rPh sb="2" eb="3">
      <t>ガク</t>
    </rPh>
    <rPh sb="4" eb="5">
      <t>モノ</t>
    </rPh>
    <rPh sb="6" eb="7">
      <t>オン</t>
    </rPh>
    <rPh sb="8" eb="9">
      <t>カイ</t>
    </rPh>
    <rPh sb="10" eb="11">
      <t>ヤマイ</t>
    </rPh>
    <rPh sb="14" eb="15">
      <t>コウ</t>
    </rPh>
    <rPh sb="16" eb="17">
      <t>スミ</t>
    </rPh>
    <phoneticPr fontId="22"/>
  </si>
  <si>
    <t>評価する取組みがない。</t>
    <phoneticPr fontId="22"/>
  </si>
  <si>
    <t>評価する取組みが1つ。</t>
    <phoneticPr fontId="22"/>
  </si>
  <si>
    <t>評価する取組みが2つ以上。</t>
    <phoneticPr fontId="22"/>
  </si>
  <si>
    <t>耐震クラスA（Bクラスに加えて、大きな補修をすることなく重要な機能が確保できる。）または、動的解析を行った上で設計用水平震度KHを1.5以上としている。</t>
  </si>
  <si>
    <t>③精密機器（データ伝送装置、中継装置、変換装置を指す。MDFや光ファイバーEthernetなど）の浸水による情報網の損傷を回避するために、ア)あるいはイ)の対策を講じている、あるいはウ)に該当している。
ア) 精密機械の地下空間への設置を避けている。
イ) 地下への浸水の防止措置(防水扉、防水板、マウンドアップ、からぼり)、排水設備(ポンプ等)を設置している。
ウ) 浸水の危険性がない。</t>
    <phoneticPr fontId="22"/>
  </si>
  <si>
    <t>評価する取組みが4つ以上。</t>
    <rPh sb="10" eb="12">
      <t>イジョウ</t>
    </rPh>
    <phoneticPr fontId="22"/>
  </si>
  <si>
    <t>④災害時の有線電話、FAX、地域防災無線が設置されている。</t>
    <phoneticPr fontId="22"/>
  </si>
  <si>
    <t>⑤災害時にケーブルTV などにより災害情報が入手できる。</t>
    <phoneticPr fontId="22"/>
  </si>
  <si>
    <t>⑥ネットワーク機器用に無停電装置が設備されている。</t>
    <phoneticPr fontId="22"/>
  </si>
  <si>
    <t>主要設備機器の更新に対応したルート又はマシンハッチが確保されておらず、更新・修繕時に建物機能を維持できない状況。</t>
    <phoneticPr fontId="22"/>
  </si>
  <si>
    <t>主要設備機器の更新に対応したルート又はマシンハッチが確保されているが、更新・修繕時に建物機能を維持できない状況。</t>
    <phoneticPr fontId="22"/>
  </si>
  <si>
    <t>主要設備機器の更新に対応したルート又はマシンハッチが確保され、かつ更新・修繕時に建物機能を維持できる状況。</t>
    <phoneticPr fontId="22"/>
  </si>
  <si>
    <t>主要設備機器の更新に対応した仮設スペースが確保でき、かつ更新・修繕時に建物機能を維持できる状況。</t>
    <phoneticPr fontId="22"/>
  </si>
  <si>
    <t>既存の建築躯体を再利用していない。</t>
    <phoneticPr fontId="22"/>
  </si>
  <si>
    <t>構造耐力上主要な部分にリサイクル資材をひとつも用いていない。</t>
    <rPh sb="0" eb="2">
      <t>コウゾウ</t>
    </rPh>
    <rPh sb="2" eb="4">
      <t>タイリョク</t>
    </rPh>
    <rPh sb="4" eb="5">
      <t>ジョウ</t>
    </rPh>
    <rPh sb="5" eb="7">
      <t>シュヨウ</t>
    </rPh>
    <rPh sb="8" eb="10">
      <t>ブブン</t>
    </rPh>
    <rPh sb="16" eb="18">
      <t>シザイ</t>
    </rPh>
    <rPh sb="23" eb="24">
      <t>モチ</t>
    </rPh>
    <phoneticPr fontId="22"/>
  </si>
  <si>
    <t>構造耐力上主要な部分にリサイクル資材を用いている。</t>
    <rPh sb="0" eb="2">
      <t>コウゾウ</t>
    </rPh>
    <rPh sb="2" eb="4">
      <t>タイリョク</t>
    </rPh>
    <rPh sb="4" eb="5">
      <t>ジョウ</t>
    </rPh>
    <rPh sb="5" eb="7">
      <t>シュヨウ</t>
    </rPh>
    <rPh sb="8" eb="10">
      <t>ブブン</t>
    </rPh>
    <rPh sb="16" eb="18">
      <t>シザイ</t>
    </rPh>
    <rPh sb="19" eb="20">
      <t>モチ</t>
    </rPh>
    <phoneticPr fontId="22"/>
  </si>
  <si>
    <t>躯体材料以外におけるリサイクル材の使用</t>
    <rPh sb="0" eb="2">
      <t>クタイ</t>
    </rPh>
    <rPh sb="2" eb="4">
      <t>ザイリョウ</t>
    </rPh>
    <rPh sb="4" eb="6">
      <t>イガイ</t>
    </rPh>
    <rPh sb="15" eb="16">
      <t>ザイ</t>
    </rPh>
    <rPh sb="17" eb="19">
      <t>シヨウ</t>
    </rPh>
    <phoneticPr fontId="22"/>
  </si>
  <si>
    <t>再利用できるユニット部材を用いている。</t>
    <phoneticPr fontId="22"/>
  </si>
  <si>
    <t>構造部材あるいはそのユニットが容易に分解でき、再利用できる。</t>
    <phoneticPr fontId="22"/>
  </si>
  <si>
    <t>不活性ガス消火剤を使用している。または、ODPが0でGWPが50未満のものを使用している。</t>
    <rPh sb="0" eb="3">
      <t>フカッセイ</t>
    </rPh>
    <rPh sb="5" eb="8">
      <t>ショウカザイ</t>
    </rPh>
    <rPh sb="9" eb="11">
      <t>シヨウ</t>
    </rPh>
    <rPh sb="32" eb="34">
      <t>ミマン</t>
    </rPh>
    <rPh sb="38" eb="40">
      <t>シヨウ</t>
    </rPh>
    <phoneticPr fontId="22"/>
  </si>
  <si>
    <t>ODP＝0.01未満かつ、GWPが低い発泡剤（GWP（100年値）が50未満）を用いた断熱材等を使用している。</t>
    <phoneticPr fontId="22"/>
  </si>
  <si>
    <t>１地域</t>
    <rPh sb="1" eb="3">
      <t>チイキ</t>
    </rPh>
    <phoneticPr fontId="22"/>
  </si>
  <si>
    <t>２地域</t>
    <rPh sb="1" eb="3">
      <t>チイキ</t>
    </rPh>
    <phoneticPr fontId="22"/>
  </si>
  <si>
    <t>３地域</t>
    <rPh sb="1" eb="3">
      <t>チイキ</t>
    </rPh>
    <phoneticPr fontId="22"/>
  </si>
  <si>
    <t>４地域</t>
    <rPh sb="1" eb="3">
      <t>チイキ</t>
    </rPh>
    <phoneticPr fontId="22"/>
  </si>
  <si>
    <t>５地域</t>
    <rPh sb="1" eb="3">
      <t>チイキ</t>
    </rPh>
    <phoneticPr fontId="22"/>
  </si>
  <si>
    <t>６地域</t>
    <rPh sb="1" eb="3">
      <t>チイキ</t>
    </rPh>
    <phoneticPr fontId="22"/>
  </si>
  <si>
    <t>７地域</t>
    <rPh sb="1" eb="3">
      <t>チイキ</t>
    </rPh>
    <phoneticPr fontId="22"/>
  </si>
  <si>
    <t>８地域</t>
    <rPh sb="1" eb="3">
      <t>チイキ</t>
    </rPh>
    <phoneticPr fontId="22"/>
  </si>
  <si>
    <t>自然エネルギー直接利用量</t>
    <rPh sb="0" eb="2">
      <t>シゼン</t>
    </rPh>
    <rPh sb="7" eb="9">
      <t>チョクセツ</t>
    </rPh>
    <rPh sb="9" eb="11">
      <t>リヨウ</t>
    </rPh>
    <rPh sb="11" eb="12">
      <t>リョウ</t>
    </rPh>
    <phoneticPr fontId="22"/>
  </si>
  <si>
    <t>MＪ／年㎡　（変換利用量は含まない）</t>
    <rPh sb="7" eb="9">
      <t>ヘンカン</t>
    </rPh>
    <rPh sb="9" eb="11">
      <t>リヨウ</t>
    </rPh>
    <rPh sb="11" eb="12">
      <t>リョウ</t>
    </rPh>
    <rPh sb="13" eb="14">
      <t>フク</t>
    </rPh>
    <phoneticPr fontId="22"/>
  </si>
  <si>
    <t>屋上（屋根）・外壁仕上げ材の更新</t>
    <rPh sb="0" eb="2">
      <t>オクジョウ</t>
    </rPh>
    <rPh sb="3" eb="5">
      <t>ヤネ</t>
    </rPh>
    <rPh sb="7" eb="9">
      <t>ガイヘキ</t>
    </rPh>
    <rPh sb="9" eb="11">
      <t>シア</t>
    </rPh>
    <rPh sb="12" eb="13">
      <t>ザイ</t>
    </rPh>
    <rPh sb="14" eb="16">
      <t>コウシン</t>
    </rPh>
    <phoneticPr fontId="22"/>
  </si>
  <si>
    <t>配管・配線材の更新</t>
    <rPh sb="0" eb="2">
      <t>ハイカン</t>
    </rPh>
    <rPh sb="3" eb="5">
      <t>ハイセン</t>
    </rPh>
    <rPh sb="5" eb="6">
      <t>ザイ</t>
    </rPh>
    <rPh sb="7" eb="9">
      <t>コウシン</t>
    </rPh>
    <phoneticPr fontId="22"/>
  </si>
  <si>
    <t>主用設備機器の更新</t>
    <rPh sb="0" eb="2">
      <t>シュヨウ</t>
    </rPh>
    <rPh sb="2" eb="4">
      <t>セツビ</t>
    </rPh>
    <rPh sb="4" eb="6">
      <t>キキ</t>
    </rPh>
    <rPh sb="7" eb="9">
      <t>コウシン</t>
    </rPh>
    <phoneticPr fontId="22"/>
  </si>
  <si>
    <t>信頼性</t>
    <rPh sb="0" eb="3">
      <t>シンライセイ</t>
    </rPh>
    <phoneticPr fontId="22"/>
  </si>
  <si>
    <t>空調・換気設備</t>
    <rPh sb="0" eb="2">
      <t>クウチョウ</t>
    </rPh>
    <rPh sb="3" eb="5">
      <t>カンキ</t>
    </rPh>
    <rPh sb="5" eb="7">
      <t>セツビ</t>
    </rPh>
    <phoneticPr fontId="22"/>
  </si>
  <si>
    <t>給排水・衛生設備</t>
    <rPh sb="0" eb="3">
      <t>キュウハイスイ</t>
    </rPh>
    <rPh sb="4" eb="6">
      <t>エイセイ</t>
    </rPh>
    <rPh sb="6" eb="8">
      <t>セツビ</t>
    </rPh>
    <phoneticPr fontId="22"/>
  </si>
  <si>
    <t>電気設備</t>
    <rPh sb="0" eb="2">
      <t>デンキ</t>
    </rPh>
    <rPh sb="2" eb="4">
      <t>セツビ</t>
    </rPh>
    <phoneticPr fontId="22"/>
  </si>
  <si>
    <t>地域性・文化</t>
    <rPh sb="0" eb="3">
      <t>チイキセイ</t>
    </rPh>
    <rPh sb="4" eb="6">
      <t>ブンカ</t>
    </rPh>
    <phoneticPr fontId="22"/>
  </si>
  <si>
    <t>空気質環境</t>
    <rPh sb="3" eb="5">
      <t>カンキョウ</t>
    </rPh>
    <phoneticPr fontId="22"/>
  </si>
  <si>
    <t>LR-2 資源ﾏﾃﾘｱﾙ</t>
    <rPh sb="5" eb="7">
      <t>シゲン</t>
    </rPh>
    <phoneticPr fontId="22"/>
  </si>
  <si>
    <t>日本住宅性能表示基準「5-1断熱等性能等級」における等級1相当の屋根・外壁・床の部材構成、開口部の仕様を設定している。</t>
    <rPh sb="14" eb="16">
      <t>ダンネツ</t>
    </rPh>
    <rPh sb="16" eb="17">
      <t>トウ</t>
    </rPh>
    <rPh sb="17" eb="19">
      <t>セイノウ</t>
    </rPh>
    <rPh sb="19" eb="21">
      <t>トウキュウ</t>
    </rPh>
    <phoneticPr fontId="22"/>
  </si>
  <si>
    <t>振動規制法に定める現行の規制基準*1を上回っている</t>
    <rPh sb="0" eb="2">
      <t>シンドウ</t>
    </rPh>
    <rPh sb="2" eb="5">
      <t>キセイホウ</t>
    </rPh>
    <rPh sb="6" eb="7">
      <t>サダ</t>
    </rPh>
    <rPh sb="9" eb="11">
      <t>ゲンコウ</t>
    </rPh>
    <rPh sb="12" eb="14">
      <t>キセイ</t>
    </rPh>
    <rPh sb="14" eb="16">
      <t>キジュン</t>
    </rPh>
    <rPh sb="19" eb="21">
      <t>ウワマワ</t>
    </rPh>
    <phoneticPr fontId="22"/>
  </si>
  <si>
    <t>振動規制法に定める特定施設を含む建物を対象とする。これらに当てはまらない場合は対象外とする。</t>
    <rPh sb="0" eb="2">
      <t>シンドウ</t>
    </rPh>
    <rPh sb="2" eb="4">
      <t>キセイ</t>
    </rPh>
    <rPh sb="4" eb="5">
      <t>ホウ</t>
    </rPh>
    <rPh sb="6" eb="7">
      <t>サダ</t>
    </rPh>
    <rPh sb="9" eb="11">
      <t>トクテイ</t>
    </rPh>
    <rPh sb="11" eb="13">
      <t>シセツ</t>
    </rPh>
    <rPh sb="14" eb="15">
      <t>フク</t>
    </rPh>
    <rPh sb="16" eb="18">
      <t>タテモノ</t>
    </rPh>
    <rPh sb="19" eb="21">
      <t>タイショウ</t>
    </rPh>
    <rPh sb="29" eb="30">
      <t>ア</t>
    </rPh>
    <rPh sb="36" eb="38">
      <t>バアイ</t>
    </rPh>
    <rPh sb="39" eb="42">
      <t>タイショウガイ</t>
    </rPh>
    <phoneticPr fontId="22"/>
  </si>
  <si>
    <t>振動規制法に定める現行の規制基準*1以下に抑えられている</t>
    <rPh sb="0" eb="2">
      <t>シンドウ</t>
    </rPh>
    <rPh sb="2" eb="5">
      <t>キセイホウ</t>
    </rPh>
    <rPh sb="6" eb="7">
      <t>サダ</t>
    </rPh>
    <rPh sb="9" eb="11">
      <t>ゲンコウ</t>
    </rPh>
    <rPh sb="12" eb="14">
      <t>キセイ</t>
    </rPh>
    <rPh sb="14" eb="16">
      <t>キジュン</t>
    </rPh>
    <rPh sb="18" eb="20">
      <t>イカ</t>
    </rPh>
    <rPh sb="21" eb="22">
      <t>オサ</t>
    </rPh>
    <phoneticPr fontId="22"/>
  </si>
  <si>
    <t>振動規制法に定める現行の規制基準*1より大幅*2に抑えられている</t>
    <phoneticPr fontId="22"/>
  </si>
  <si>
    <t>事・学・物・飲・会・病・ホ・工・住</t>
    <phoneticPr fontId="22"/>
  </si>
  <si>
    <t>建物外壁（ガラスを含む）の反射光（グレア）の発生を低減させる取組みを行っている。</t>
  </si>
  <si>
    <t>レベル4に加え、シミュレーションの実施等により大幅な低減効果を確認するなど、より高度な取組みを行っている。</t>
  </si>
  <si>
    <t>フライアッシュセメント</t>
    <phoneticPr fontId="22"/>
  </si>
  <si>
    <t>エコセメント</t>
    <phoneticPr fontId="22"/>
  </si>
  <si>
    <t>高炉セメント</t>
    <rPh sb="0" eb="2">
      <t>コウロ</t>
    </rPh>
    <phoneticPr fontId="22"/>
  </si>
  <si>
    <t>・グリーン購入法特定調達物品情報提供システム　（http://www.env.go.jp/policy/hozen/green/g-law/gpl-db/index.html）</t>
    <phoneticPr fontId="22"/>
  </si>
  <si>
    <t>・エコマーク事務局HP（財団法人日本環境協会）　（http://www.ecomark.jp/search/search.php）</t>
    <rPh sb="6" eb="9">
      <t>ジムキョク</t>
    </rPh>
    <rPh sb="12" eb="14">
      <t>ザイダン</t>
    </rPh>
    <rPh sb="14" eb="16">
      <t>ホウジン</t>
    </rPh>
    <rPh sb="16" eb="18">
      <t>ニホン</t>
    </rPh>
    <rPh sb="18" eb="20">
      <t>カンキョウ</t>
    </rPh>
    <rPh sb="20" eb="22">
      <t>キョウカイ</t>
    </rPh>
    <phoneticPr fontId="22"/>
  </si>
  <si>
    <t>陶磁器質タイル</t>
    <rPh sb="0" eb="3">
      <t>トウジキ</t>
    </rPh>
    <rPh sb="3" eb="4">
      <t>シツ</t>
    </rPh>
    <phoneticPr fontId="22"/>
  </si>
  <si>
    <t>再生加熱アスファルト混合物</t>
    <rPh sb="0" eb="2">
      <t>サイセイ</t>
    </rPh>
    <rPh sb="2" eb="4">
      <t>カネツ</t>
    </rPh>
    <rPh sb="10" eb="12">
      <t>コンゴウ</t>
    </rPh>
    <rPh sb="12" eb="13">
      <t>ブツ</t>
    </rPh>
    <phoneticPr fontId="22"/>
  </si>
  <si>
    <t>合板</t>
  </si>
  <si>
    <t>鉄鋼スラグ混入アスファルト混合物</t>
    <rPh sb="0" eb="2">
      <t>テッコウ</t>
    </rPh>
    <rPh sb="5" eb="7">
      <t>コンニュウ</t>
    </rPh>
    <rPh sb="13" eb="15">
      <t>コンゴウ</t>
    </rPh>
    <rPh sb="15" eb="16">
      <t>ブツ</t>
    </rPh>
    <phoneticPr fontId="22"/>
  </si>
  <si>
    <t>単板積層材</t>
  </si>
  <si>
    <t>フローリング</t>
  </si>
  <si>
    <t>パーティクルボード</t>
    <phoneticPr fontId="22"/>
  </si>
  <si>
    <t>鉄鋼ズラグブロック</t>
    <phoneticPr fontId="22"/>
  </si>
  <si>
    <t>フライアッシュを用いた吹付けコンクリート</t>
    <rPh sb="8" eb="9">
      <t>モチ</t>
    </rPh>
    <rPh sb="11" eb="13">
      <t>フキツ</t>
    </rPh>
    <phoneticPr fontId="22"/>
  </si>
  <si>
    <t>ビニル系床材</t>
    <phoneticPr fontId="22"/>
  </si>
  <si>
    <t>エコマークを取得したタイル・ブロック（エコマーク商品類型109）</t>
    <phoneticPr fontId="22"/>
  </si>
  <si>
    <t>ボード</t>
    <phoneticPr fontId="22"/>
  </si>
  <si>
    <t>屋内用品（壁材などの内装材））</t>
    <phoneticPr fontId="22"/>
  </si>
  <si>
    <t>壁紙</t>
    <phoneticPr fontId="22"/>
  </si>
  <si>
    <t>フリーアクセスフロア</t>
    <phoneticPr fontId="22"/>
  </si>
  <si>
    <t>・グリーン購入法特定調達物品情報提供システム　（http://www.env.go.jp/policy/hozen/green/g-law/gpl-db/index.html）</t>
    <phoneticPr fontId="22"/>
  </si>
  <si>
    <t>冷媒ガスを使用していない場合は、評価対象外</t>
    <phoneticPr fontId="22"/>
  </si>
  <si>
    <t>消火設備が全く無い場合やスプリンクラーのみの場合、ガス消火設備がない場合は対象外とする
消火器は対象外とする</t>
    <phoneticPr fontId="22"/>
  </si>
  <si>
    <t>事・学・物・飲・会・病・ホ・住・工</t>
    <rPh sb="0" eb="1">
      <t>コト</t>
    </rPh>
    <rPh sb="2" eb="3">
      <t>ガク</t>
    </rPh>
    <rPh sb="4" eb="5">
      <t>モノ</t>
    </rPh>
    <rPh sb="6" eb="7">
      <t>ノ</t>
    </rPh>
    <rPh sb="8" eb="9">
      <t>カイ</t>
    </rPh>
    <rPh sb="10" eb="11">
      <t>ヤマイ</t>
    </rPh>
    <rPh sb="14" eb="15">
      <t>ジュウ</t>
    </rPh>
    <rPh sb="16" eb="17">
      <t>コウ</t>
    </rPh>
    <phoneticPr fontId="22"/>
  </si>
  <si>
    <t/>
  </si>
  <si>
    <t>維持管理に配慮した設計において、取り組みにおいて該当する項目数が十分でない。（評価する取組みが 0～2）</t>
    <rPh sb="0" eb="2">
      <t>イジ</t>
    </rPh>
    <rPh sb="2" eb="4">
      <t>カンリ</t>
    </rPh>
    <rPh sb="5" eb="7">
      <t>ハイリョ</t>
    </rPh>
    <rPh sb="9" eb="11">
      <t>セッケイ</t>
    </rPh>
    <rPh sb="16" eb="17">
      <t>ト</t>
    </rPh>
    <rPh sb="18" eb="19">
      <t>ク</t>
    </rPh>
    <rPh sb="32" eb="34">
      <t>ジュウブン</t>
    </rPh>
    <rPh sb="39" eb="41">
      <t>ヒョウカ</t>
    </rPh>
    <rPh sb="43" eb="45">
      <t>トリク</t>
    </rPh>
    <phoneticPr fontId="22"/>
  </si>
  <si>
    <t>維持管理に配慮した設計において、取り組みにおいて該当する項目数が標準である。（評価する取組みが 3～5）</t>
    <rPh sb="0" eb="2">
      <t>イジ</t>
    </rPh>
    <rPh sb="2" eb="4">
      <t>カンリ</t>
    </rPh>
    <rPh sb="5" eb="7">
      <t>ハイリョ</t>
    </rPh>
    <rPh sb="9" eb="11">
      <t>セッケイ</t>
    </rPh>
    <rPh sb="16" eb="17">
      <t>ト</t>
    </rPh>
    <rPh sb="18" eb="19">
      <t>ク</t>
    </rPh>
    <rPh sb="32" eb="34">
      <t>ヒョウジュン</t>
    </rPh>
    <rPh sb="39" eb="41">
      <t>ヒョウカ</t>
    </rPh>
    <rPh sb="43" eb="45">
      <t>トリク</t>
    </rPh>
    <phoneticPr fontId="22"/>
  </si>
  <si>
    <t>維持管理に配慮した設計において、取り組みにおいて該当する項目数が標準以上である。（評価する取組みが 6～8）</t>
    <rPh sb="0" eb="2">
      <t>イジ</t>
    </rPh>
    <rPh sb="2" eb="4">
      <t>カンリ</t>
    </rPh>
    <rPh sb="5" eb="7">
      <t>ハイリョ</t>
    </rPh>
    <rPh sb="9" eb="11">
      <t>セッケイ</t>
    </rPh>
    <rPh sb="16" eb="17">
      <t>ト</t>
    </rPh>
    <rPh sb="18" eb="19">
      <t>ク</t>
    </rPh>
    <rPh sb="32" eb="34">
      <t>ヒョウジュン</t>
    </rPh>
    <rPh sb="34" eb="36">
      <t>イジョウ</t>
    </rPh>
    <rPh sb="41" eb="43">
      <t>ヒョウカ</t>
    </rPh>
    <rPh sb="45" eb="47">
      <t>トリク</t>
    </rPh>
    <phoneticPr fontId="22"/>
  </si>
  <si>
    <r>
      <t xml:space="preserve">3.3.4 </t>
    </r>
    <r>
      <rPr>
        <b/>
        <sz val="10"/>
        <rFont val="ＭＳ Ｐゴシック"/>
        <family val="3"/>
        <charset val="128"/>
      </rPr>
      <t>通信配線の更新性</t>
    </r>
    <phoneticPr fontId="22"/>
  </si>
  <si>
    <t>構造部材を痛めることなく電気配線の更新・修繕ができる。</t>
    <phoneticPr fontId="22"/>
  </si>
  <si>
    <t>構造部材を痛めることなく通信配線の更新・修繕ができる。</t>
    <phoneticPr fontId="22"/>
  </si>
  <si>
    <t xml:space="preserve"> </t>
    <phoneticPr fontId="22"/>
  </si>
  <si>
    <t>加湿・除湿機能を有し、45％～55％の快適範囲を設定し、なおかつ、熱橋となる部分の断熱補強、防湿層、通気層の設置等の結露防止対策がとられている。</t>
    <phoneticPr fontId="22"/>
  </si>
  <si>
    <t>⑨　バルブ等の日常的に調整が必要な機器は、操作が容易な位置に設定されている。</t>
    <phoneticPr fontId="22"/>
  </si>
  <si>
    <t>⑪　天井隠蔽機器の点検口は600mm×600mm以上としている。</t>
    <phoneticPr fontId="22"/>
  </si>
  <si>
    <t>非住宅部分</t>
    <rPh sb="0" eb="1">
      <t>ヒ</t>
    </rPh>
    <rPh sb="1" eb="3">
      <t>ジュウタク</t>
    </rPh>
    <rPh sb="3" eb="5">
      <t>ブブン</t>
    </rPh>
    <phoneticPr fontId="22"/>
  </si>
  <si>
    <t>効率的な運用低減率</t>
    <rPh sb="0" eb="2">
      <t>コウリツ</t>
    </rPh>
    <rPh sb="2" eb="3">
      <t>テキ</t>
    </rPh>
    <rPh sb="4" eb="6">
      <t>ウンヨウ</t>
    </rPh>
    <rPh sb="6" eb="8">
      <t>テイゲン</t>
    </rPh>
    <rPh sb="8" eb="9">
      <t>リツ</t>
    </rPh>
    <phoneticPr fontId="22"/>
  </si>
  <si>
    <t>削減分</t>
    <rPh sb="0" eb="2">
      <t>サクゲン</t>
    </rPh>
    <rPh sb="2" eb="3">
      <t>ブン</t>
    </rPh>
    <phoneticPr fontId="22"/>
  </si>
  <si>
    <t>歴史的建造物の外装、既存の自然環境等を保存、復元、再生することにより、景観的に地域の歴史性を継承している。</t>
    <phoneticPr fontId="22"/>
  </si>
  <si>
    <t>地域性のある素材を外装材に使用して、良好な景観を形成している。</t>
    <phoneticPr fontId="22"/>
  </si>
  <si>
    <t xml:space="preserve">周辺にある公園や広場等の人が集まる場所や遠くから対象建物を含む一帯を眺める地点（視点場）からの良好な景観を形成している。   </t>
    <phoneticPr fontId="22"/>
  </si>
  <si>
    <t>その他（記述）</t>
    <phoneticPr fontId="22"/>
  </si>
  <si>
    <t>合計＝</t>
    <phoneticPr fontId="22"/>
  </si>
  <si>
    <t>→</t>
    <phoneticPr fontId="22"/>
  </si>
  <si>
    <t>1）歴史的な建築空間等の保全
歴史的な建築内外部空間や遺構を保存、復元、再生し、地域文化に貢献している。（まちなみ・景観で評価している部分はここで重複して評価しない）</t>
    <phoneticPr fontId="22"/>
  </si>
  <si>
    <t>評価する取組み表の評価ポイントの合計値が4ポイント</t>
    <phoneticPr fontId="22"/>
  </si>
  <si>
    <t>1～2</t>
    <phoneticPr fontId="22"/>
  </si>
  <si>
    <t>広告物照明について「広告物照明の扱い」の配慮事項の一部を満たしている。（1ポイント）</t>
    <phoneticPr fontId="22"/>
  </si>
  <si>
    <t>「広告物照明の扱い」の配慮事項の過半を満たしている場合、または広告物照明を行っていない（2ポイント）</t>
    <phoneticPr fontId="22"/>
  </si>
  <si>
    <r>
      <t>3.3.2</t>
    </r>
    <r>
      <rPr>
        <b/>
        <sz val="10"/>
        <rFont val="ＭＳ Ｐゴシック"/>
        <family val="3"/>
        <charset val="128"/>
      </rPr>
      <t>　昼光の建物外壁による反射光（グレア）への対策</t>
    </r>
    <phoneticPr fontId="22"/>
  </si>
  <si>
    <t>消火剤</t>
    <rPh sb="0" eb="3">
      <t>ショウカザイ</t>
    </rPh>
    <phoneticPr fontId="22"/>
  </si>
  <si>
    <t>発泡剤（断熱材等）</t>
    <rPh sb="0" eb="2">
      <t>ハッポウ</t>
    </rPh>
    <rPh sb="2" eb="3">
      <t>ザイ</t>
    </rPh>
    <rPh sb="4" eb="7">
      <t>ダンネツザイ</t>
    </rPh>
    <rPh sb="7" eb="8">
      <t>トウ</t>
    </rPh>
    <phoneticPr fontId="22"/>
  </si>
  <si>
    <t>冷媒</t>
    <rPh sb="0" eb="2">
      <t>レイバイ</t>
    </rPh>
    <phoneticPr fontId="22"/>
  </si>
  <si>
    <t>対応性・更新性</t>
  </si>
  <si>
    <t xml:space="preserve"> Q2 3</t>
  </si>
  <si>
    <t xml:space="preserve"> Q2 3.1</t>
  </si>
  <si>
    <t>階高のゆとり</t>
  </si>
  <si>
    <t>空間の形状・自由さ</t>
  </si>
  <si>
    <t xml:space="preserve"> Q2 3.3</t>
  </si>
  <si>
    <t>空調配管の更新性</t>
  </si>
  <si>
    <t>給排水管の更新性</t>
  </si>
  <si>
    <t>電気配線の更新性</t>
  </si>
  <si>
    <t>通信配線の更新性</t>
  </si>
  <si>
    <t>設備機器の更新性</t>
  </si>
  <si>
    <t xml:space="preserve"> Q3</t>
  </si>
  <si>
    <t>生物資源の保全と創出</t>
    <rPh sb="2" eb="4">
      <t>シゲン</t>
    </rPh>
    <phoneticPr fontId="22"/>
  </si>
  <si>
    <t xml:space="preserve"> Q3 3</t>
  </si>
  <si>
    <t xml:space="preserve"> </t>
  </si>
  <si>
    <t>建築物の環境負荷低減性</t>
    <rPh sb="0" eb="3">
      <t>ケンチクブツ</t>
    </rPh>
    <rPh sb="4" eb="6">
      <t>カンキョウ</t>
    </rPh>
    <rPh sb="6" eb="8">
      <t>フカ</t>
    </rPh>
    <rPh sb="8" eb="10">
      <t>テイゲン</t>
    </rPh>
    <rPh sb="10" eb="11">
      <t>セイ</t>
    </rPh>
    <phoneticPr fontId="22"/>
  </si>
  <si>
    <t>LR</t>
  </si>
  <si>
    <t>LR1 2</t>
  </si>
  <si>
    <t>ERRによる評価</t>
    <rPh sb="6" eb="8">
      <t>ﾋｮｳｶ</t>
    </rPh>
    <phoneticPr fontId="35" type="noConversion"/>
  </si>
  <si>
    <t>ERR以外による評価</t>
    <rPh sb="3" eb="5">
      <t>イガイ</t>
    </rPh>
    <phoneticPr fontId="22"/>
  </si>
  <si>
    <t>LR1 4</t>
  </si>
  <si>
    <t>LR2 1</t>
  </si>
  <si>
    <t>雨水利用・雑排水再利用</t>
    <rPh sb="0" eb="2">
      <t>ｳｽｲ</t>
    </rPh>
    <rPh sb="2" eb="4">
      <t>ﾘﾖｳ</t>
    </rPh>
    <rPh sb="5" eb="8">
      <t>ｻﾞﾂﾊｲｽｲ</t>
    </rPh>
    <rPh sb="8" eb="9">
      <t>ｻｲ</t>
    </rPh>
    <rPh sb="9" eb="11">
      <t>ﾘﾖｳ</t>
    </rPh>
    <phoneticPr fontId="35" type="noConversion"/>
  </si>
  <si>
    <t>LR2 1.2</t>
  </si>
  <si>
    <t>雑排水等再利用システム導入の有無</t>
  </si>
  <si>
    <t>LR2 2</t>
  </si>
  <si>
    <t>LR2 3</t>
  </si>
  <si>
    <t>フロン・ハロンの回避</t>
  </si>
  <si>
    <r>
      <t>kg-CO</t>
    </r>
    <r>
      <rPr>
        <vertAlign val="subscript"/>
        <sz val="10"/>
        <rFont val="ＭＳ Ｐゴシック"/>
        <family val="3"/>
        <charset val="128"/>
      </rPr>
      <t>2</t>
    </r>
    <r>
      <rPr>
        <sz val="10"/>
        <rFont val="ＭＳ Ｐゴシック"/>
        <family val="3"/>
        <charset val="128"/>
      </rPr>
      <t>/MJ</t>
    </r>
    <phoneticPr fontId="22"/>
  </si>
  <si>
    <t>ガス</t>
    <phoneticPr fontId="22"/>
  </si>
  <si>
    <r>
      <t>kg-CO</t>
    </r>
    <r>
      <rPr>
        <vertAlign val="superscript"/>
        <sz val="10"/>
        <rFont val="ＭＳ Ｐゴシック"/>
        <family val="3"/>
        <charset val="128"/>
      </rPr>
      <t>2</t>
    </r>
    <r>
      <rPr>
        <sz val="10"/>
        <rFont val="ＭＳ Ｐゴシック"/>
        <family val="3"/>
        <charset val="128"/>
      </rPr>
      <t>/MJ</t>
    </r>
    <phoneticPr fontId="22"/>
  </si>
  <si>
    <r>
      <t>■LCCO</t>
    </r>
    <r>
      <rPr>
        <b/>
        <vertAlign val="subscript"/>
        <sz val="12"/>
        <rFont val="ＭＳ Ｐゴシック"/>
        <family val="3"/>
        <charset val="128"/>
      </rPr>
      <t>2</t>
    </r>
    <r>
      <rPr>
        <b/>
        <sz val="12"/>
        <rFont val="ＭＳ Ｐゴシック"/>
        <family val="3"/>
        <charset val="128"/>
      </rPr>
      <t>算定条件シート(個別計算）</t>
    </r>
    <rPh sb="14" eb="16">
      <t>コベツ</t>
    </rPh>
    <rPh sb="16" eb="18">
      <t>ケイサン</t>
    </rPh>
    <phoneticPr fontId="22"/>
  </si>
  <si>
    <t>バウンダリー</t>
    <phoneticPr fontId="22"/>
  </si>
  <si>
    <t>○○　</t>
    <phoneticPr fontId="22"/>
  </si>
  <si>
    <t>〃</t>
    <phoneticPr fontId="22"/>
  </si>
  <si>
    <t>○○</t>
    <phoneticPr fontId="22"/>
  </si>
  <si>
    <t>○○</t>
    <phoneticPr fontId="22"/>
  </si>
  <si>
    <t>○○</t>
    <phoneticPr fontId="22"/>
  </si>
  <si>
    <t>○○</t>
    <phoneticPr fontId="22"/>
  </si>
  <si>
    <t>○○</t>
    <phoneticPr fontId="22"/>
  </si>
  <si>
    <t>修繕・更新・</t>
    <phoneticPr fontId="22"/>
  </si>
  <si>
    <t>③上記+②以外の
　オンサイト手法</t>
    <phoneticPr fontId="22"/>
  </si>
  <si>
    <t>－</t>
    <phoneticPr fontId="22"/>
  </si>
  <si>
    <t>外気冷房効果</t>
  </si>
  <si>
    <t>無音室</t>
    <rPh sb="0" eb="2">
      <t>ムオン</t>
    </rPh>
    <rPh sb="2" eb="3">
      <t>シツ</t>
    </rPh>
    <phoneticPr fontId="22"/>
  </si>
  <si>
    <t>主調整室</t>
    <rPh sb="0" eb="1">
      <t>シュ</t>
    </rPh>
    <rPh sb="1" eb="4">
      <t>チョウセイシツ</t>
    </rPh>
    <phoneticPr fontId="22"/>
  </si>
  <si>
    <t>一般事務室</t>
    <rPh sb="0" eb="2">
      <t>イッパン</t>
    </rPh>
    <rPh sb="2" eb="5">
      <t>ジムシツ</t>
    </rPh>
    <phoneticPr fontId="22"/>
  </si>
  <si>
    <t>集会・ホール</t>
    <rPh sb="0" eb="2">
      <t>シュウカイ</t>
    </rPh>
    <phoneticPr fontId="22"/>
  </si>
  <si>
    <t>音楽堂</t>
    <rPh sb="0" eb="3">
      <t>オンガクドウ</t>
    </rPh>
    <phoneticPr fontId="22"/>
  </si>
  <si>
    <t>劇場（中）</t>
    <rPh sb="0" eb="2">
      <t>ゲキジョウ</t>
    </rPh>
    <rPh sb="3" eb="4">
      <t>チュウ</t>
    </rPh>
    <phoneticPr fontId="22"/>
  </si>
  <si>
    <t>舞台劇場</t>
    <rPh sb="0" eb="2">
      <t>ブタイ</t>
    </rPh>
    <rPh sb="2" eb="4">
      <t>ゲキジョウ</t>
    </rPh>
    <phoneticPr fontId="22"/>
  </si>
  <si>
    <t>映画館・プラネタリウム</t>
    <rPh sb="0" eb="3">
      <t>エイガカン</t>
    </rPh>
    <phoneticPr fontId="22"/>
  </si>
  <si>
    <t>聴力試験室</t>
    <rPh sb="0" eb="2">
      <t>チョウリョク</t>
    </rPh>
    <rPh sb="2" eb="4">
      <t>シケン</t>
    </rPh>
    <rPh sb="4" eb="5">
      <t>シツ</t>
    </rPh>
    <phoneticPr fontId="22"/>
  </si>
  <si>
    <t>特別病室</t>
    <rPh sb="0" eb="2">
      <t>トクベツ</t>
    </rPh>
    <rPh sb="2" eb="4">
      <t>ビョウシツ</t>
    </rPh>
    <phoneticPr fontId="22"/>
  </si>
  <si>
    <t>排出係数の設定</t>
    <rPh sb="0" eb="2">
      <t>ハイシュツ</t>
    </rPh>
    <rPh sb="2" eb="4">
      <t>ケイスウ</t>
    </rPh>
    <rPh sb="5" eb="7">
      <t>セッテイ</t>
    </rPh>
    <phoneticPr fontId="22"/>
  </si>
  <si>
    <t>対策を行っている（評価する取組みにおいて2項目以上を採用）</t>
    <phoneticPr fontId="22"/>
  </si>
  <si>
    <t>取組みなし。</t>
    <phoneticPr fontId="22"/>
  </si>
  <si>
    <t>エネルギー消費に関する表示機器、負荷低減装置等を採用している。</t>
    <phoneticPr fontId="22"/>
  </si>
  <si>
    <t>エネルギーを管理する仕組みがあり、それにより消費エネルギーの削減が可能である取組みがなされている。</t>
    <phoneticPr fontId="22"/>
  </si>
  <si>
    <t>レベル３に加え、主要な用途別エネルギー消費の内訳※1) を把握して、消費特性の傾向把握・分析を行い、妥当性が確認できること。</t>
    <phoneticPr fontId="22"/>
  </si>
  <si>
    <t>内装材と設備が錯綜せず、解体・改修・更新の際に、容易にそれぞれを取り外すことができる。</t>
  </si>
  <si>
    <t>化学物質排出把握管理促進法の対象物質を含有しない建材種別がない。または確認していない。</t>
  </si>
  <si>
    <t>化学物質排出把握管理促進法の対象物質を含有しない建材種別が1つ以上～3つ以下ある。</t>
    <rPh sb="36" eb="38">
      <t>イカ</t>
    </rPh>
    <phoneticPr fontId="22"/>
  </si>
  <si>
    <t>化学物質排出把握管理促進法の対象物質を含有しない建材種別が4つ以上ある。</t>
    <rPh sb="31" eb="33">
      <t>イジョウ</t>
    </rPh>
    <phoneticPr fontId="22"/>
  </si>
  <si>
    <t>評価対象とする建材種別</t>
    <rPh sb="0" eb="2">
      <t>ヒョウカ</t>
    </rPh>
    <rPh sb="2" eb="4">
      <t>タイショウ</t>
    </rPh>
    <rPh sb="9" eb="11">
      <t>シュベツ</t>
    </rPh>
    <phoneticPr fontId="22"/>
  </si>
  <si>
    <t>指定化学物質の含有</t>
    <rPh sb="0" eb="2">
      <t>シテイ</t>
    </rPh>
    <rPh sb="2" eb="4">
      <t>カガク</t>
    </rPh>
    <rPh sb="4" eb="6">
      <t>ブッシツ</t>
    </rPh>
    <phoneticPr fontId="22"/>
  </si>
  <si>
    <t>分類</t>
    <rPh sb="0" eb="2">
      <t>ブンルイ</t>
    </rPh>
    <phoneticPr fontId="22"/>
  </si>
  <si>
    <t>III 緑の量の確保</t>
    <phoneticPr fontId="22"/>
  </si>
  <si>
    <t>複数ベッド単位で照明制御できる、または、照明制御盤・器具等で調整できる。</t>
    <rPh sb="8" eb="10">
      <t>ショウメイ</t>
    </rPh>
    <rPh sb="10" eb="12">
      <t>セイギョ</t>
    </rPh>
    <rPh sb="20" eb="22">
      <t>ショウメイ</t>
    </rPh>
    <rPh sb="22" eb="25">
      <t>セイギョバン</t>
    </rPh>
    <phoneticPr fontId="22"/>
  </si>
  <si>
    <t>代替値</t>
    <phoneticPr fontId="22"/>
  </si>
  <si>
    <t>根拠等</t>
    <rPh sb="0" eb="2">
      <t>コンキョ</t>
    </rPh>
    <rPh sb="2" eb="3">
      <t>トウ</t>
    </rPh>
    <phoneticPr fontId="22"/>
  </si>
  <si>
    <r>
      <t xml:space="preserve"> [</t>
    </r>
    <r>
      <rPr>
        <sz val="11"/>
        <rFont val="ＭＳ Ｐゴシック"/>
        <family val="3"/>
        <charset val="128"/>
      </rPr>
      <t>2</t>
    </r>
    <r>
      <rPr>
        <sz val="11"/>
        <rFont val="ＭＳ Ｐゴシック"/>
        <family val="3"/>
        <charset val="128"/>
      </rPr>
      <t>]代替値</t>
    </r>
    <rPh sb="4" eb="6">
      <t>ダイタイ</t>
    </rPh>
    <rPh sb="6" eb="7">
      <t>チ</t>
    </rPh>
    <phoneticPr fontId="22"/>
  </si>
  <si>
    <t>降順並び替え</t>
    <rPh sb="0" eb="2">
      <t>コウジュン</t>
    </rPh>
    <rPh sb="2" eb="3">
      <t>ナラ</t>
    </rPh>
    <rPh sb="4" eb="5">
      <t>カ</t>
    </rPh>
    <phoneticPr fontId="22"/>
  </si>
  <si>
    <t>レベル２を満たさない。</t>
    <phoneticPr fontId="22"/>
  </si>
  <si>
    <t>学（小中高）</t>
    <phoneticPr fontId="22"/>
  </si>
  <si>
    <t>レベル３を満たさない。</t>
    <phoneticPr fontId="22"/>
  </si>
  <si>
    <t>-</t>
    <phoneticPr fontId="22"/>
  </si>
  <si>
    <t>［ダニ又はダニアレルゲン］≦１００匹／㎡</t>
    <phoneticPr fontId="22"/>
  </si>
  <si>
    <t>内装は、床・壁の50％以上～65％未満の面積において、ダニ・カビの発生を抑制、あるいは清掃・メンテナンスに配慮したものとなっている。</t>
    <phoneticPr fontId="22"/>
  </si>
  <si>
    <t>内装は、床・壁の65％以上～80％未満の面積において、ダニ・カビの発生を抑制、あるいは清掃・メンテナンスに配慮したものとなっている。</t>
    <phoneticPr fontId="22"/>
  </si>
  <si>
    <t>内装は、床・壁の80％以上の面積において、ダニ・カビの発生を抑制、あるいは清掃・メンテナンスに配慮したものとなっている。</t>
    <phoneticPr fontId="22"/>
  </si>
  <si>
    <t>生物環境の保全と創出に関して配慮に欠け、取り組みが不十分である。(評価ポイント0～3)</t>
    <rPh sb="2" eb="4">
      <t>カンキョウ</t>
    </rPh>
    <phoneticPr fontId="22"/>
  </si>
  <si>
    <t>採点</t>
    <rPh sb="0" eb="2">
      <t>サイテン</t>
    </rPh>
    <phoneticPr fontId="22"/>
  </si>
  <si>
    <t>既存はなし</t>
    <rPh sb="0" eb="2">
      <t>キソン</t>
    </rPh>
    <phoneticPr fontId="22"/>
  </si>
  <si>
    <t>1～3</t>
  </si>
  <si>
    <t>1～2</t>
  </si>
  <si>
    <t>まちなみ・景観への配慮</t>
  </si>
  <si>
    <t>(評価ポイント0)</t>
    <rPh sb="1" eb="3">
      <t>ヒョウカ</t>
    </rPh>
    <phoneticPr fontId="22"/>
  </si>
  <si>
    <t>周辺のまちなみや景観に対して、標準以上の配慮が行われている。(評価ポイント4)</t>
  </si>
  <si>
    <t>周辺のまちなみや景観に対して、充実した取組みが行われている。
（評価ポイント5以上、又は地域のまちなみ・景観に関する賞を受賞している）</t>
    <rPh sb="32" eb="34">
      <t>ヒョウカ</t>
    </rPh>
    <phoneticPr fontId="22"/>
  </si>
  <si>
    <t>2）植栽による良好な景観形成</t>
    <rPh sb="2" eb="4">
      <t>ショクサイ</t>
    </rPh>
    <phoneticPr fontId="22"/>
  </si>
  <si>
    <t>4）地域性のある素材による良好な景観形成</t>
    <rPh sb="2" eb="5">
      <t>チイキセイ</t>
    </rPh>
    <rPh sb="8" eb="10">
      <t>ソザイ</t>
    </rPh>
    <rPh sb="13" eb="15">
      <t>リョウコウ</t>
    </rPh>
    <rPh sb="16" eb="18">
      <t>ケイカン</t>
    </rPh>
    <rPh sb="18" eb="20">
      <t>ケイセイ</t>
    </rPh>
    <phoneticPr fontId="22"/>
  </si>
  <si>
    <t>5）周辺の主要な視点場からの良好な景観形成</t>
    <rPh sb="8" eb="10">
      <t>シテン</t>
    </rPh>
    <rPh sb="10" eb="11">
      <t>バ</t>
    </rPh>
    <phoneticPr fontId="22"/>
  </si>
  <si>
    <t>6）その他（記述）</t>
    <rPh sb="4" eb="5">
      <t>タ</t>
    </rPh>
    <rPh sb="6" eb="8">
      <t>キジュツ</t>
    </rPh>
    <phoneticPr fontId="22"/>
  </si>
  <si>
    <t>地域性・アメニティへの配慮</t>
  </si>
  <si>
    <t>地域性への配慮、快適性の向上</t>
    <rPh sb="0" eb="3">
      <t>チイキセイ</t>
    </rPh>
    <rPh sb="5" eb="7">
      <t>ハイリョ</t>
    </rPh>
    <rPh sb="8" eb="11">
      <t>カイテキセイ</t>
    </rPh>
    <rPh sb="12" eb="14">
      <t>コウジョウ</t>
    </rPh>
    <phoneticPr fontId="22"/>
  </si>
  <si>
    <t>地域性・アメニティへの配慮に関して取組みを行っていない。(評価ポイント0)</t>
  </si>
  <si>
    <t>地域性・アメニティへの配慮に関して取組みが十分とはいえない。(評価ポイント1)</t>
  </si>
  <si>
    <t>ホテルo</t>
    <phoneticPr fontId="22"/>
  </si>
  <si>
    <t>集合住宅o</t>
    <phoneticPr fontId="22"/>
  </si>
  <si>
    <t>延面積比率</t>
    <phoneticPr fontId="22"/>
  </si>
  <si>
    <t>Q</t>
    <phoneticPr fontId="22"/>
  </si>
  <si>
    <t xml:space="preserve"> Q</t>
    <phoneticPr fontId="22"/>
  </si>
  <si>
    <t>Q</t>
    <phoneticPr fontId="22"/>
  </si>
  <si>
    <t>建築物の環境品質</t>
    <phoneticPr fontId="22"/>
  </si>
  <si>
    <t>Q1</t>
    <phoneticPr fontId="35" type="noConversion"/>
  </si>
  <si>
    <t>室内環境</t>
    <phoneticPr fontId="22"/>
  </si>
  <si>
    <t>騒音</t>
    <phoneticPr fontId="22"/>
  </si>
  <si>
    <t>1.2.1</t>
    <phoneticPr fontId="22"/>
  </si>
  <si>
    <t>開口部遮音性能</t>
    <phoneticPr fontId="22"/>
  </si>
  <si>
    <t>1.2.2</t>
    <phoneticPr fontId="22"/>
  </si>
  <si>
    <t>1.2.3</t>
    <phoneticPr fontId="22"/>
  </si>
  <si>
    <t>1.2.4</t>
    <phoneticPr fontId="22"/>
  </si>
  <si>
    <t>2.1.1</t>
    <phoneticPr fontId="22"/>
  </si>
  <si>
    <t>2.3.1</t>
    <phoneticPr fontId="22"/>
  </si>
  <si>
    <t>2.3.1</t>
    <phoneticPr fontId="22"/>
  </si>
  <si>
    <t>2.3.2</t>
    <phoneticPr fontId="22"/>
  </si>
  <si>
    <t>2.3.2</t>
    <phoneticPr fontId="22"/>
  </si>
  <si>
    <t>時間外空調に対する配慮</t>
    <rPh sb="0" eb="3">
      <t>ジカンガイ</t>
    </rPh>
    <rPh sb="3" eb="5">
      <t>クウチョウ</t>
    </rPh>
    <rPh sb="6" eb="7">
      <t>タイ</t>
    </rPh>
    <rPh sb="9" eb="11">
      <t>ハイリョ</t>
    </rPh>
    <phoneticPr fontId="22"/>
  </si>
  <si>
    <t>監視システム</t>
    <rPh sb="0" eb="2">
      <t>カンシ</t>
    </rPh>
    <phoneticPr fontId="22"/>
  </si>
  <si>
    <t>湿度制御</t>
    <rPh sb="0" eb="2">
      <t>ｼﾂﾄﾞ</t>
    </rPh>
    <rPh sb="2" eb="4">
      <t>ｾｲｷﾞｮ</t>
    </rPh>
    <phoneticPr fontId="35" type="noConversion"/>
  </si>
  <si>
    <t>空調方式</t>
    <rPh sb="0" eb="2">
      <t>クウチョウ</t>
    </rPh>
    <rPh sb="2" eb="4">
      <t>ホウシキ</t>
    </rPh>
    <phoneticPr fontId="22"/>
  </si>
  <si>
    <t>上下温度差</t>
    <rPh sb="0" eb="2">
      <t>ジョウゲ</t>
    </rPh>
    <rPh sb="2" eb="5">
      <t>オンドサ</t>
    </rPh>
    <phoneticPr fontId="22"/>
  </si>
  <si>
    <t>建築基準法施行細則第8条（建築設備等の定期報告）に基づく換気設備定期点検を年1回実施し、改善している。
※特定行政庁が規定する特殊建築物に該当しない場合は取組み「0点」として評価する。</t>
    <phoneticPr fontId="22"/>
  </si>
  <si>
    <t>建築物環境衛生管理基準レベルの空調管理を実施し、記録を保管している。</t>
    <phoneticPr fontId="22"/>
  </si>
  <si>
    <t>ねずみ等の点検・防除は何も実施していない。</t>
    <phoneticPr fontId="22"/>
  </si>
  <si>
    <t>病・ホ・住</t>
    <phoneticPr fontId="22"/>
  </si>
  <si>
    <t>0.7≦　[壁長さ比率]</t>
    <phoneticPr fontId="22"/>
  </si>
  <si>
    <t>0.5≦　[壁長さ比率] ＜0.7</t>
    <phoneticPr fontId="22"/>
  </si>
  <si>
    <t>0.3≦　[壁長さ比率] ＜0.5</t>
    <phoneticPr fontId="22"/>
  </si>
  <si>
    <t>0.1≦　[壁長さ比率] ＜0.3</t>
    <phoneticPr fontId="22"/>
  </si>
  <si>
    <t xml:space="preserve"> [壁長さ比率] ＜0.1</t>
    <phoneticPr fontId="22"/>
  </si>
  <si>
    <t>外周壁の長さ（ｍ）＋耐力壁の長さ（ｍ）</t>
    <phoneticPr fontId="22"/>
  </si>
  <si>
    <t>専用面積（㎡）</t>
    <phoneticPr fontId="22"/>
  </si>
  <si>
    <r>
      <t xml:space="preserve">3.3.1 </t>
    </r>
    <r>
      <rPr>
        <b/>
        <sz val="10"/>
        <rFont val="ＭＳ Ｐゴシック"/>
        <family val="3"/>
        <charset val="128"/>
      </rPr>
      <t>空調配管の更新性</t>
    </r>
    <phoneticPr fontId="22"/>
  </si>
  <si>
    <r>
      <t xml:space="preserve">3.3.2 </t>
    </r>
    <r>
      <rPr>
        <b/>
        <sz val="10"/>
        <rFont val="ＭＳ Ｐゴシック"/>
        <family val="3"/>
        <charset val="128"/>
      </rPr>
      <t>給排水管の更新性</t>
    </r>
    <phoneticPr fontId="22"/>
  </si>
  <si>
    <t>将来用（更新用）スペース、ルートの確保されることなどによって、構造部材を痛めることなくほぼ全ての空調配管の更新・修繕ができる。 または中央式空調設備を持たない。</t>
    <phoneticPr fontId="22"/>
  </si>
  <si>
    <t>2.1.7 時間外空調に対する配慮</t>
    <phoneticPr fontId="22"/>
  </si>
  <si>
    <t>建物全体・共用部分</t>
    <phoneticPr fontId="22"/>
  </si>
  <si>
    <t>同一フロアで熱負荷別に複数にゾーニングがなされており、複数ゾーン監視のために制御センサとは別に複数の監視・計測用センサがある監視システムが設置されている。</t>
    <phoneticPr fontId="22"/>
  </si>
  <si>
    <t>型　枠</t>
    <rPh sb="0" eb="1">
      <t>カタ</t>
    </rPh>
    <rPh sb="2" eb="3">
      <t>ワク</t>
    </rPh>
    <phoneticPr fontId="22"/>
  </si>
  <si>
    <t>主要なリサイクル建材と利用利率</t>
    <rPh sb="0" eb="2">
      <t>シュヨウ</t>
    </rPh>
    <rPh sb="8" eb="10">
      <t>ケンザイ</t>
    </rPh>
    <rPh sb="11" eb="13">
      <t>リヨウ</t>
    </rPh>
    <rPh sb="13" eb="15">
      <t>リリツ</t>
    </rPh>
    <phoneticPr fontId="22"/>
  </si>
  <si>
    <t>高炉セメント
（躯体での利用率）</t>
    <rPh sb="0" eb="2">
      <t>コウロ</t>
    </rPh>
    <rPh sb="8" eb="10">
      <t>クタイ</t>
    </rPh>
    <rPh sb="12" eb="14">
      <t>リヨウ</t>
    </rPh>
    <rPh sb="14" eb="15">
      <t>リツ</t>
    </rPh>
    <phoneticPr fontId="22"/>
  </si>
  <si>
    <t>既存躯体の再利用
（躯体での利用率）</t>
    <rPh sb="0" eb="2">
      <t>キソン</t>
    </rPh>
    <rPh sb="2" eb="4">
      <t>クタイ</t>
    </rPh>
    <rPh sb="5" eb="8">
      <t>サイリヨウ</t>
    </rPh>
    <rPh sb="10" eb="12">
      <t>クタイ</t>
    </rPh>
    <rPh sb="14" eb="17">
      <t>リヨウリツ</t>
    </rPh>
    <phoneticPr fontId="22"/>
  </si>
  <si>
    <t>電炉鋼材（鉄筋）</t>
    <rPh sb="0" eb="2">
      <t>デンロ</t>
    </rPh>
    <rPh sb="2" eb="4">
      <t>コウザイ</t>
    </rPh>
    <phoneticPr fontId="22"/>
  </si>
  <si>
    <t>電炉鋼材（鋼材）</t>
    <rPh sb="0" eb="2">
      <t>デンロ</t>
    </rPh>
    <rPh sb="2" eb="4">
      <t>コウザイ</t>
    </rPh>
    <rPh sb="5" eb="7">
      <t>コウザイ</t>
    </rPh>
    <phoneticPr fontId="22"/>
  </si>
  <si>
    <t>更新周期（年）</t>
    <rPh sb="0" eb="2">
      <t>コウシン</t>
    </rPh>
    <rPh sb="2" eb="4">
      <t>シュウキ</t>
    </rPh>
    <rPh sb="5" eb="6">
      <t>ネン</t>
    </rPh>
    <phoneticPr fontId="22"/>
  </si>
  <si>
    <t>平均修繕率（％/年）</t>
    <rPh sb="0" eb="2">
      <t>ヘイキン</t>
    </rPh>
    <rPh sb="2" eb="4">
      <t>シュウゼン</t>
    </rPh>
    <rPh sb="4" eb="5">
      <t>リツ</t>
    </rPh>
    <rPh sb="8" eb="9">
      <t>ネン</t>
    </rPh>
    <phoneticPr fontId="22"/>
  </si>
  <si>
    <t>一般的な冬期30～45％、夏期55％～80％の範囲で計画されている。</t>
    <phoneticPr fontId="22"/>
  </si>
  <si>
    <t>加湿・除湿機能を有し、かつASHRAE快適域やPOEM-Oを参考に45％～55％の範囲で計画されている。</t>
    <phoneticPr fontId="22"/>
  </si>
  <si>
    <t>加湿・除湿機能を有し、ASHRAE快適域やPOEM-Oを参考に45％～55％の範囲で計画されている。</t>
    <phoneticPr fontId="22"/>
  </si>
  <si>
    <t>加湿・除湿機能を有し、45％～55％の快適範囲を設定し、なおかつ、熱橋となる部分の断熱補強、防湿層、通気層の設置等の結露防止対策がとられている。</t>
    <phoneticPr fontId="22"/>
  </si>
  <si>
    <t>レベル３を満たさない。</t>
    <phoneticPr fontId="22"/>
  </si>
  <si>
    <t>何も配慮していない。</t>
    <phoneticPr fontId="22"/>
  </si>
  <si>
    <t>加湿機能を有し、かつ一般的な冬期40％、夏期50％の湿度を実現する設備容量が確保されている。</t>
    <phoneticPr fontId="22"/>
  </si>
  <si>
    <t>加湿機能を有し、かつ一般的な冬期40～70％、夏期50～65％の湿度を実現する設備容量が確保されている。</t>
    <phoneticPr fontId="22"/>
  </si>
  <si>
    <t>一般的な冬期30～45％、夏期55％～80％の範囲にある。</t>
    <phoneticPr fontId="22"/>
  </si>
  <si>
    <t>加湿機能を有し、かつ一般的な夏期50％、冬期40％の湿度を実現する設備容量が確保されている。</t>
    <phoneticPr fontId="22"/>
  </si>
  <si>
    <t>寒冷地域</t>
    <rPh sb="0" eb="2">
      <t>カンレイ</t>
    </rPh>
    <rPh sb="2" eb="4">
      <t>チイキ</t>
    </rPh>
    <phoneticPr fontId="22"/>
  </si>
  <si>
    <t>商業地域、防火地域</t>
    <rPh sb="0" eb="2">
      <t>ショウギョウ</t>
    </rPh>
    <rPh sb="2" eb="4">
      <t>チイキ</t>
    </rPh>
    <rPh sb="5" eb="7">
      <t>ボウカ</t>
    </rPh>
    <rPh sb="7" eb="9">
      <t>チイキ</t>
    </rPh>
    <phoneticPr fontId="22"/>
  </si>
  <si>
    <t>暑熱地域</t>
    <rPh sb="0" eb="2">
      <t>ショネツ</t>
    </rPh>
    <rPh sb="2" eb="4">
      <t>チイキ</t>
    </rPh>
    <phoneticPr fontId="22"/>
  </si>
  <si>
    <t>○○</t>
    <phoneticPr fontId="22"/>
  </si>
  <si>
    <t>地上○○F</t>
    <rPh sb="0" eb="2">
      <t>チジョウ</t>
    </rPh>
    <phoneticPr fontId="22"/>
  </si>
  <si>
    <t>テレビ、ラジオ、会話等の一般の発生音がかなり聞こえる。</t>
    <phoneticPr fontId="22"/>
  </si>
  <si>
    <t xml:space="preserve">隣戸の生活がかなり分かる。 </t>
    <phoneticPr fontId="22"/>
  </si>
  <si>
    <t>人の話し声が気にならない。</t>
    <phoneticPr fontId="22"/>
  </si>
  <si>
    <t>会話等の一般の発生音が小さく聞える。</t>
    <phoneticPr fontId="22"/>
  </si>
  <si>
    <t>テレビ、ラジオ、会話等の一般の発生音が小さく聞こえる。</t>
    <phoneticPr fontId="22"/>
  </si>
  <si>
    <t>隣戸住宅の生活がわかるがあまり気にならない。</t>
    <phoneticPr fontId="22"/>
  </si>
  <si>
    <t>会話等の一般の発生音がほとんど聞えない。</t>
    <phoneticPr fontId="22"/>
  </si>
  <si>
    <t>Dr-40未満</t>
    <phoneticPr fontId="22"/>
  </si>
  <si>
    <t>Dr-40</t>
    <phoneticPr fontId="22"/>
  </si>
  <si>
    <t>Dr-45</t>
    <phoneticPr fontId="22"/>
  </si>
  <si>
    <t>Dr-50</t>
    <phoneticPr fontId="22"/>
  </si>
  <si>
    <t>1.2.3 界床遮音性能（軽量衝撃源）</t>
    <phoneticPr fontId="22"/>
  </si>
  <si>
    <t>建物全体・共用部分</t>
    <phoneticPr fontId="22"/>
  </si>
  <si>
    <t>病・ホ・住</t>
    <phoneticPr fontId="22"/>
  </si>
  <si>
    <t>椅子の移動音、物の落下音がかなりうるさい。　</t>
    <phoneticPr fontId="22"/>
  </si>
  <si>
    <t>採点結果</t>
    <rPh sb="0" eb="2">
      <t>サイテン</t>
    </rPh>
    <rPh sb="2" eb="4">
      <t>ケッカ</t>
    </rPh>
    <phoneticPr fontId="22"/>
  </si>
  <si>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22"/>
  </si>
  <si>
    <t>Q2/2.2.1 躯体材料の耐用年数</t>
    <rPh sb="9" eb="11">
      <t>クタイ</t>
    </rPh>
    <rPh sb="11" eb="13">
      <t>ザイリョウ</t>
    </rPh>
    <rPh sb="14" eb="16">
      <t>タイヨウ</t>
    </rPh>
    <rPh sb="16" eb="18">
      <t>ネンスウ</t>
    </rPh>
    <phoneticPr fontId="22"/>
  </si>
  <si>
    <t>ホテル</t>
  </si>
  <si>
    <t>評価対象の構造</t>
    <rPh sb="0" eb="2">
      <t>ヒョウカ</t>
    </rPh>
    <rPh sb="2" eb="4">
      <t>タイショウ</t>
    </rPh>
    <rPh sb="5" eb="7">
      <t>コウゾウ</t>
    </rPh>
    <phoneticPr fontId="22"/>
  </si>
  <si>
    <t>LR2/2.2 既存建築躯体等の継続使用</t>
    <rPh sb="8" eb="10">
      <t>キソン</t>
    </rPh>
    <rPh sb="10" eb="12">
      <t>ケンチク</t>
    </rPh>
    <rPh sb="12" eb="14">
      <t>クタイ</t>
    </rPh>
    <rPh sb="14" eb="15">
      <t>トウ</t>
    </rPh>
    <rPh sb="16" eb="18">
      <t>ケイゾク</t>
    </rPh>
    <rPh sb="18" eb="20">
      <t>シヨウ</t>
    </rPh>
    <phoneticPr fontId="22"/>
  </si>
  <si>
    <t>用途地域</t>
    <rPh sb="0" eb="2">
      <t>ﾖｳﾄ</t>
    </rPh>
    <rPh sb="2" eb="4">
      <t>ﾁｲｷ</t>
    </rPh>
    <phoneticPr fontId="35" type="noConversion"/>
  </si>
  <si>
    <t>熱反ガラスを使用し、且つ水平庇１．０ｍ以上が計画されている。又は、高性能熱反ガラスを使用し、かつ水平庇0.5～1.0ｍが計画されている。</t>
    <rPh sb="6" eb="8">
      <t>シヨウ</t>
    </rPh>
    <rPh sb="10" eb="11">
      <t>カ</t>
    </rPh>
    <rPh sb="12" eb="14">
      <t>スイヘイ</t>
    </rPh>
    <rPh sb="14" eb="15">
      <t>ヒサシ</t>
    </rPh>
    <rPh sb="22" eb="24">
      <t>ケイカク</t>
    </rPh>
    <rPh sb="30" eb="31">
      <t>マタ</t>
    </rPh>
    <phoneticPr fontId="22"/>
  </si>
  <si>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2"/>
  </si>
  <si>
    <t>再生材料を用いた舗装用ブロック（焼成）</t>
    <rPh sb="0" eb="2">
      <t>サイセイ</t>
    </rPh>
    <rPh sb="2" eb="4">
      <t>ザイリョウ</t>
    </rPh>
    <rPh sb="5" eb="6">
      <t>モチ</t>
    </rPh>
    <rPh sb="8" eb="11">
      <t>ホソウヨウ</t>
    </rPh>
    <rPh sb="16" eb="17">
      <t>ヤ</t>
    </rPh>
    <rPh sb="17" eb="18">
      <t>ナリ</t>
    </rPh>
    <phoneticPr fontId="22"/>
  </si>
  <si>
    <t>同一フロアで用途別や熱負荷別に複数にゾーニングがなされており、同一フロアで冷房・暖房は切り替えとなる空調システムが計画されている。</t>
  </si>
  <si>
    <t>単一ダクト方式、２管式ＦＣＵ方式（ゾーニングのグレード評価、冷暖切り替え）</t>
    <phoneticPr fontId="22"/>
  </si>
  <si>
    <t>レベル３程度の空調のゾーニングがなされており、さらにゾーン別に冷房・暖房の選択が可能な空調システムとしている。</t>
    <phoneticPr fontId="22"/>
  </si>
  <si>
    <t>二重ダクト方式（ＡＨＵで４管式）、４管式ＦＣＵ方式、タスク・アンビエント空調方式（ゾーニングのグレード、冷暖同時の双方を評価）</t>
    <phoneticPr fontId="22"/>
  </si>
  <si>
    <t>同一フロアで、熱負荷別に売り場・テナント用に細かくゾーニングがなされており、各ゾーン単位で冷房・暖房が可能な空調システムが計画されている。</t>
  </si>
  <si>
    <t>●標準計算</t>
    <rPh sb="1" eb="3">
      <t>ヒョウジュン</t>
    </rPh>
    <rPh sb="3" eb="5">
      <t>ケイサン</t>
    </rPh>
    <phoneticPr fontId="22"/>
  </si>
  <si>
    <t>●個別計算</t>
    <rPh sb="1" eb="3">
      <t>コベツ</t>
    </rPh>
    <rPh sb="3" eb="5">
      <t>ケイサン</t>
    </rPh>
    <phoneticPr fontId="22"/>
  </si>
  <si>
    <t>用途名</t>
    <rPh sb="0" eb="2">
      <t>ヨウト</t>
    </rPh>
    <rPh sb="2" eb="3">
      <t>メイ</t>
    </rPh>
    <phoneticPr fontId="22"/>
  </si>
  <si>
    <t xml:space="preserve"> 含まれる用途</t>
    <rPh sb="1" eb="2">
      <t>フク</t>
    </rPh>
    <rPh sb="5" eb="7">
      <t>ヨウト</t>
    </rPh>
    <phoneticPr fontId="22"/>
  </si>
  <si>
    <t xml:space="preserve"> 事務所</t>
  </si>
  <si>
    <t>風害対策に対する要請がない。または、自主的な対策を評価しない場合は、レベル３</t>
    <rPh sb="0" eb="2">
      <t>フウガイ</t>
    </rPh>
    <rPh sb="2" eb="4">
      <t>タイサク</t>
    </rPh>
    <rPh sb="5" eb="6">
      <t>タイ</t>
    </rPh>
    <rPh sb="8" eb="10">
      <t>ヨウセイ</t>
    </rPh>
    <rPh sb="18" eb="21">
      <t>ジシュテキ</t>
    </rPh>
    <rPh sb="22" eb="24">
      <t>タイサク</t>
    </rPh>
    <rPh sb="25" eb="27">
      <t>ヒョウカ</t>
    </rPh>
    <rPh sb="30" eb="32">
      <t>バアイ</t>
    </rPh>
    <phoneticPr fontId="22"/>
  </si>
  <si>
    <t>周辺のまちなみや景観に対して、標準的な配慮が行われている。(評価ポイント3)</t>
    <phoneticPr fontId="22"/>
  </si>
  <si>
    <r>
      <t>①公共空間からほとんど見えないなど、まちなみ・景観に配慮しようがない場合はレベル</t>
    </r>
    <r>
      <rPr>
        <sz val="9"/>
        <rFont val="Arial"/>
        <family val="2"/>
      </rPr>
      <t>3</t>
    </r>
    <r>
      <rPr>
        <sz val="9"/>
        <rFont val="ＭＳ Ｐゴシック"/>
        <family val="3"/>
        <charset val="128"/>
      </rPr>
      <t>とする。
②地域に独自のルール（まちなみガイドライン等）があり、それに基づいた取組みを行っている場合には、その内容を評価する。
③地域の景観賞、受賞理由に景観が明記されている賞を受賞しているなど一定の評価を得ていると認められる場合、レベル５とする。</t>
    </r>
    <phoneticPr fontId="22"/>
  </si>
  <si>
    <t>1）建物の配置・形態等のまちなみへの調和</t>
    <phoneticPr fontId="22"/>
  </si>
  <si>
    <t>建物高さ、壁面位置、外装･屋根･庇･開口部･塀等の形状や色彩において、周辺のまちなみや風景にバランスよく調和させている。</t>
    <phoneticPr fontId="22"/>
  </si>
  <si>
    <t>Ⅲ 給水・給湯管理
   （飲用・炊事用・浴用等）の評価</t>
    <rPh sb="2" eb="4">
      <t>キュウスイ</t>
    </rPh>
    <rPh sb="5" eb="7">
      <t>キュウトウ</t>
    </rPh>
    <rPh sb="7" eb="9">
      <t>カンリ</t>
    </rPh>
    <rPh sb="14" eb="16">
      <t>インヨウ</t>
    </rPh>
    <rPh sb="17" eb="20">
      <t>スイジヨウ</t>
    </rPh>
    <rPh sb="21" eb="24">
      <t>ヨクヨウナド</t>
    </rPh>
    <rPh sb="26" eb="28">
      <t>ヒョウカ</t>
    </rPh>
    <phoneticPr fontId="22"/>
  </si>
  <si>
    <t>建築物環境衛生管理基準の給水設備において不適切項目がある。</t>
    <rPh sb="0" eb="3">
      <t>ケンチクブツ</t>
    </rPh>
    <rPh sb="3" eb="5">
      <t>カンキョウ</t>
    </rPh>
    <rPh sb="5" eb="7">
      <t>エイセイ</t>
    </rPh>
    <rPh sb="7" eb="9">
      <t>カンリ</t>
    </rPh>
    <rPh sb="9" eb="11">
      <t>キジュン</t>
    </rPh>
    <rPh sb="12" eb="14">
      <t>キュウスイ</t>
    </rPh>
    <rPh sb="14" eb="16">
      <t>セツビ</t>
    </rPh>
    <rPh sb="20" eb="23">
      <t>フテキセツ</t>
    </rPh>
    <rPh sb="23" eb="25">
      <t>コウモク</t>
    </rPh>
    <phoneticPr fontId="22"/>
  </si>
  <si>
    <t>建築物環境衛生管理基準を満たしている。</t>
    <rPh sb="0" eb="3">
      <t>ケンチクブツ</t>
    </rPh>
    <rPh sb="3" eb="5">
      <t>カンキョウ</t>
    </rPh>
    <rPh sb="5" eb="7">
      <t>エイセイ</t>
    </rPh>
    <rPh sb="7" eb="9">
      <t>カンリ</t>
    </rPh>
    <rPh sb="9" eb="11">
      <t>キジュン</t>
    </rPh>
    <rPh sb="12" eb="13">
      <t>ミ</t>
    </rPh>
    <phoneticPr fontId="22"/>
  </si>
  <si>
    <t>耐用性・信頼性</t>
    <rPh sb="0" eb="2">
      <t>タイヨウ</t>
    </rPh>
    <rPh sb="2" eb="3">
      <t>セイ</t>
    </rPh>
    <rPh sb="4" eb="7">
      <t>シンライセイ</t>
    </rPh>
    <phoneticPr fontId="22"/>
  </si>
  <si>
    <t>(該当するレベルなし)</t>
    <phoneticPr fontId="22"/>
  </si>
  <si>
    <t>建築基準法に定められた耐震性を有する。</t>
  </si>
  <si>
    <t>建築基準法に定められた25％増の耐震性を有する。</t>
  </si>
  <si>
    <t>建築基準法に定められた50％増の耐震性を有する。あるいは損傷制御設計が行われている。</t>
  </si>
  <si>
    <t>　（２）温暖化対策推進法に基づく温室効果ガス排出量の算定方法を参考とする場合</t>
    <rPh sb="31" eb="33">
      <t>サンコウ</t>
    </rPh>
    <phoneticPr fontId="22"/>
  </si>
  <si>
    <t>事業者名</t>
  </si>
  <si>
    <t>その他</t>
    <rPh sb="2" eb="3">
      <t>タ</t>
    </rPh>
    <phoneticPr fontId="22"/>
  </si>
  <si>
    <t>日本住宅性能表示基準「5-1断熱等性能等級」における等級2相当の屋根・外壁・床の部材構成、開口部の仕様を設定している。</t>
    <phoneticPr fontId="22"/>
  </si>
  <si>
    <t>日本住宅性能表示基準「5-1断熱等性能等級」における等級3相当の屋根・外壁・床の部材構成、開口部の仕様を設定している。</t>
    <phoneticPr fontId="22"/>
  </si>
  <si>
    <t>日本住宅性能表示基準「5-1断熱等性能等級」における等級4相当の屋根・外壁・床の部材構成、開口部の仕様を設定している。</t>
    <phoneticPr fontId="22"/>
  </si>
  <si>
    <t>全般照明方式の場合で、照度が500lx以上1000lx未満。
タスク・アンビエント照明方式もしくはこれに準ずる照明方式の場合で、タスク照度が500lx以上1000lx未満、かつアンビエント照度がタスク照度の1/3以上2/3未満。</t>
    <phoneticPr fontId="22"/>
  </si>
  <si>
    <t>全般照明方式の場合で、300lx≦[照度] ＜500lx。
タスク・アンビエント照明方式もしくはこれに準ずる照明方式の場合で、タスク照度が300lx以上500lx未満、またはアンビエント照度がタスク照度の1/3未満もしくは2/3以上。</t>
    <phoneticPr fontId="22"/>
  </si>
  <si>
    <t>窓が開閉不可能な居室において、自然換気有効開口がない、または25cm2/m2未満。あるいは窓が開閉可能な居室において、自然換気有効開口面積が居室床面積の1/50以上</t>
    <phoneticPr fontId="22"/>
  </si>
  <si>
    <t>窓が開閉不可能な居室において自然換気有効開口がない、または50cm2/m2未満。あるいは窓が開閉可能な居室において、自然換気有効開口面積が居室床面積の1/20以上</t>
    <phoneticPr fontId="22"/>
  </si>
  <si>
    <t>窓が開閉不可能な居室において、自然換気有効開口面積が100 cm2/m2以上。あるいは、窓が開閉可能な居室において、自然換気有効開口面積が居室床面積の1/10以上。あるいは、レベル４の自然換気有効開口面積を満たし、かつ必要外気量の２倍以上の外気冷房の採用により室内空気質の向上が期待できる。</t>
    <phoneticPr fontId="22"/>
  </si>
  <si>
    <t>リフレッシュスペースが執務スペースの1％未満</t>
    <phoneticPr fontId="22"/>
  </si>
  <si>
    <t>■効率的な運用</t>
    <rPh sb="1" eb="4">
      <t>コウリツテキ</t>
    </rPh>
    <rPh sb="5" eb="7">
      <t>ウンヨウ</t>
    </rPh>
    <phoneticPr fontId="22"/>
  </si>
  <si>
    <t>建築物衛生法における特定建築物</t>
  </si>
  <si>
    <t>1) 汚染源対策</t>
    <rPh sb="3" eb="6">
      <t>オセンゲン</t>
    </rPh>
    <rPh sb="6" eb="8">
      <t>タイサク</t>
    </rPh>
    <phoneticPr fontId="22"/>
  </si>
  <si>
    <t>2) 清掃方法</t>
    <rPh sb="3" eb="5">
      <t>セイソウ</t>
    </rPh>
    <rPh sb="5" eb="7">
      <t>ホウホウ</t>
    </rPh>
    <phoneticPr fontId="22"/>
  </si>
  <si>
    <t>3) 清掃資材</t>
    <rPh sb="3" eb="5">
      <t>セイソウ</t>
    </rPh>
    <rPh sb="5" eb="7">
      <t>シザイ</t>
    </rPh>
    <phoneticPr fontId="22"/>
  </si>
  <si>
    <t>フェロニッケルスラグ骨材</t>
    <rPh sb="10" eb="12">
      <t>コツザイ</t>
    </rPh>
    <phoneticPr fontId="22"/>
  </si>
  <si>
    <t>銅スラグ骨材</t>
    <rPh sb="0" eb="1">
      <t>ドウ</t>
    </rPh>
    <rPh sb="4" eb="6">
      <t>コツザイ</t>
    </rPh>
    <phoneticPr fontId="22"/>
  </si>
  <si>
    <t>電気炉酸化スラグ骨材</t>
    <rPh sb="0" eb="3">
      <t>デンキロ</t>
    </rPh>
    <rPh sb="3" eb="5">
      <t>サンカ</t>
    </rPh>
    <rPh sb="8" eb="10">
      <t>コツザイ</t>
    </rPh>
    <phoneticPr fontId="22"/>
  </si>
  <si>
    <t>②エコマークを取得した「木材などを使用したボード」（エコマーク商品類型111）</t>
    <rPh sb="7" eb="9">
      <t>シュトク</t>
    </rPh>
    <rPh sb="12" eb="14">
      <t>モクザイ</t>
    </rPh>
    <rPh sb="17" eb="19">
      <t>シヨウ</t>
    </rPh>
    <rPh sb="31" eb="33">
      <t>ショウヒン</t>
    </rPh>
    <rPh sb="33" eb="35">
      <t>ルイケイ</t>
    </rPh>
    <phoneticPr fontId="22"/>
  </si>
  <si>
    <t>③エコマークを取得した「間伐材、再・未利用木材などを使用した製品」（エコマーク商品類型115）</t>
    <rPh sb="7" eb="9">
      <t>シュトク</t>
    </rPh>
    <rPh sb="12" eb="15">
      <t>カンバツザイ</t>
    </rPh>
    <rPh sb="16" eb="17">
      <t>サイ</t>
    </rPh>
    <rPh sb="18" eb="21">
      <t>ミリヨウ</t>
    </rPh>
    <rPh sb="21" eb="23">
      <t>モクザイ</t>
    </rPh>
    <rPh sb="26" eb="28">
      <t>シヨウ</t>
    </rPh>
    <rPh sb="30" eb="32">
      <t>セイヒン</t>
    </rPh>
    <rPh sb="39" eb="41">
      <t>ショウヒン</t>
    </rPh>
    <rPh sb="41" eb="43">
      <t>ルイケイ</t>
    </rPh>
    <phoneticPr fontId="22"/>
  </si>
  <si>
    <r>
      <t xml:space="preserve">2.2.6 </t>
    </r>
    <r>
      <rPr>
        <b/>
        <sz val="10"/>
        <rFont val="ＭＳ Ｐゴシック"/>
        <family val="3"/>
        <charset val="128"/>
      </rPr>
      <t>主要設備機器の更新必要間隔</t>
    </r>
    <phoneticPr fontId="22"/>
  </si>
  <si>
    <t>７年未満</t>
    <phoneticPr fontId="22"/>
  </si>
  <si>
    <r>
      <t xml:space="preserve">2.3.1 </t>
    </r>
    <r>
      <rPr>
        <b/>
        <sz val="10"/>
        <rFont val="ＭＳ Ｐゴシック"/>
        <family val="3"/>
        <charset val="128"/>
      </rPr>
      <t>屋上（屋根）・外壁仕上げ材の更新</t>
    </r>
    <phoneticPr fontId="22"/>
  </si>
  <si>
    <r>
      <t xml:space="preserve">2.3.2 </t>
    </r>
    <r>
      <rPr>
        <b/>
        <sz val="10"/>
        <rFont val="ＭＳ Ｐゴシック"/>
        <family val="3"/>
        <charset val="128"/>
      </rPr>
      <t>配管・配線材の更新</t>
    </r>
    <phoneticPr fontId="22"/>
  </si>
  <si>
    <t>重み係数(既定）＝</t>
    <phoneticPr fontId="22"/>
  </si>
  <si>
    <t>事・学・物・飲・会・病・ホ・工・住</t>
    <phoneticPr fontId="22"/>
  </si>
  <si>
    <t>-</t>
    <phoneticPr fontId="22"/>
  </si>
  <si>
    <r>
      <t xml:space="preserve">2.3.3 </t>
    </r>
    <r>
      <rPr>
        <b/>
        <sz val="10"/>
        <rFont val="ＭＳ Ｐゴシック"/>
        <family val="3"/>
        <charset val="128"/>
      </rPr>
      <t>主要設備機器の更新</t>
    </r>
    <phoneticPr fontId="22"/>
  </si>
  <si>
    <r>
      <t xml:space="preserve">2.4.1 </t>
    </r>
    <r>
      <rPr>
        <b/>
        <sz val="10"/>
        <rFont val="ＭＳ Ｐゴシック"/>
        <family val="3"/>
        <charset val="128"/>
      </rPr>
      <t>空調・換気設備</t>
    </r>
    <phoneticPr fontId="22"/>
  </si>
  <si>
    <t>事・会・病・ホ･工</t>
    <phoneticPr fontId="22"/>
  </si>
  <si>
    <t>学・物・飲・住</t>
    <phoneticPr fontId="22"/>
  </si>
  <si>
    <t>事・学・物・飲・会・病・ホ・工・住【&lt;2000㎡】</t>
    <phoneticPr fontId="22"/>
  </si>
  <si>
    <t>評価する取組みがない。</t>
    <phoneticPr fontId="22"/>
  </si>
  <si>
    <t>一般的な冬期20℃、夏期26℃の設定。</t>
    <phoneticPr fontId="22"/>
  </si>
  <si>
    <t>各居室において一般的な冬期22℃、夏期26℃を設定している。</t>
    <phoneticPr fontId="22"/>
  </si>
  <si>
    <t>ASHRAE快適域やPOEM-Oを参考に冬期22℃～24℃、夏期24℃～26℃の範囲を設定している。</t>
    <phoneticPr fontId="22"/>
  </si>
  <si>
    <t>各居室において冬期22～24℃、夏期24～26℃の範囲を設定している。</t>
    <phoneticPr fontId="22"/>
  </si>
  <si>
    <t>冬期21℃、夏期28℃と多少我慢を強いる室温を実現するための最低限の設備容量が確保されている。</t>
    <phoneticPr fontId="22"/>
  </si>
  <si>
    <t>冬期20℃、夏期28℃と多少我慢を強いる室温を実現するための最低限の設備容量が確保されている。</t>
    <phoneticPr fontId="22"/>
  </si>
  <si>
    <t>一般的な設定値である冬期22℃、夏期26℃の室温を実現するための設備容量が確保されている。</t>
    <phoneticPr fontId="22"/>
  </si>
  <si>
    <t>一般的な設定値である冬期23℃、夏期26℃の室温を実現するための設備容量が確保されている。</t>
    <phoneticPr fontId="22"/>
  </si>
  <si>
    <t>一般的な冬期20℃、夏期27℃の室温を実現するための設備容量が確保されている。</t>
    <phoneticPr fontId="22"/>
  </si>
  <si>
    <t>2000年代初頭</t>
    <rPh sb="4" eb="5">
      <t>ネン</t>
    </rPh>
    <rPh sb="5" eb="6">
      <t>ダイ</t>
    </rPh>
    <rPh sb="6" eb="8">
      <t>ショトウ</t>
    </rPh>
    <phoneticPr fontId="22"/>
  </si>
  <si>
    <t>ウレタン変性イソシアヌレートフォーム</t>
  </si>
  <si>
    <t>次世代</t>
    <rPh sb="0" eb="3">
      <t>ジセダイ</t>
    </rPh>
    <phoneticPr fontId="22"/>
  </si>
  <si>
    <t>スチレンオレフィンフォーム</t>
  </si>
  <si>
    <t>2000年以降</t>
    <rPh sb="4" eb="5">
      <t>ネン</t>
    </rPh>
    <rPh sb="5" eb="7">
      <t>イコウ</t>
    </rPh>
    <phoneticPr fontId="22"/>
  </si>
  <si>
    <t>冬期21℃、夏期28℃と程度と多少我慢を強いる室温設定。</t>
    <rPh sb="12" eb="14">
      <t>テイド</t>
    </rPh>
    <phoneticPr fontId="22"/>
  </si>
  <si>
    <t>レベル３を満たさない。</t>
  </si>
  <si>
    <t>冬期20℃、夏期28℃と多少我慢を強いる室温設定。</t>
  </si>
  <si>
    <t>評価する取組みが1つ。または中央式空調換気設備を持たない場合。</t>
  </si>
  <si>
    <t>評価する取組みがない。</t>
    <rPh sb="0" eb="2">
      <t>ヒョウカ</t>
    </rPh>
    <rPh sb="4" eb="5">
      <t>ト</t>
    </rPh>
    <rPh sb="5" eb="6">
      <t>ク</t>
    </rPh>
    <phoneticPr fontId="22"/>
  </si>
  <si>
    <t>評価する取組みが2つ。</t>
    <phoneticPr fontId="22"/>
  </si>
  <si>
    <t>評価する取組みが1つ。</t>
    <rPh sb="0" eb="2">
      <t>ヒョウカ</t>
    </rPh>
    <rPh sb="4" eb="5">
      <t>ト</t>
    </rPh>
    <rPh sb="5" eb="6">
      <t>ク</t>
    </rPh>
    <phoneticPr fontId="22"/>
  </si>
  <si>
    <t>評価する取組みが3つ以上。</t>
  </si>
  <si>
    <t>評価する取組みが2つ以上。</t>
  </si>
  <si>
    <t>評価する取組みが2つ以上。</t>
    <rPh sb="0" eb="2">
      <t>ヒョウカ</t>
    </rPh>
    <rPh sb="4" eb="5">
      <t>ト</t>
    </rPh>
    <rPh sb="5" eb="6">
      <t>ク</t>
    </rPh>
    <rPh sb="10" eb="12">
      <t>イジョウ</t>
    </rPh>
    <phoneticPr fontId="22"/>
  </si>
  <si>
    <t>評価する取り組み</t>
    <rPh sb="0" eb="2">
      <t>ヒョウカ</t>
    </rPh>
    <rPh sb="4" eb="5">
      <t>ト</t>
    </rPh>
    <rPh sb="6" eb="7">
      <t>ク</t>
    </rPh>
    <phoneticPr fontId="22"/>
  </si>
  <si>
    <t>用途</t>
    <rPh sb="0" eb="2">
      <t>ヨウト</t>
    </rPh>
    <phoneticPr fontId="22"/>
  </si>
  <si>
    <t>事・会・病・ホ･工</t>
    <rPh sb="0" eb="1">
      <t>コト</t>
    </rPh>
    <rPh sb="2" eb="3">
      <t>カイ</t>
    </rPh>
    <rPh sb="4" eb="5">
      <t>ヤマイ</t>
    </rPh>
    <rPh sb="8" eb="9">
      <t>コウ</t>
    </rPh>
    <phoneticPr fontId="22"/>
  </si>
  <si>
    <t>学・物・飲・住</t>
    <rPh sb="0" eb="1">
      <t>ガク</t>
    </rPh>
    <rPh sb="2" eb="3">
      <t>モノ</t>
    </rPh>
    <rPh sb="4" eb="5">
      <t>イン</t>
    </rPh>
    <rPh sb="6" eb="7">
      <t>ジュウ</t>
    </rPh>
    <phoneticPr fontId="22"/>
  </si>
  <si>
    <t>事・学・物・飲・会・病・ホ・工・住【&lt;2000㎡】</t>
    <rPh sb="0" eb="1">
      <t>コト</t>
    </rPh>
    <rPh sb="2" eb="3">
      <t>ガク</t>
    </rPh>
    <rPh sb="4" eb="5">
      <t>モノ</t>
    </rPh>
    <rPh sb="6" eb="7">
      <t>イン</t>
    </rPh>
    <rPh sb="8" eb="9">
      <t>カイ</t>
    </rPh>
    <rPh sb="10" eb="11">
      <t>ヤマイ</t>
    </rPh>
    <rPh sb="14" eb="15">
      <t>コウ</t>
    </rPh>
    <rPh sb="16" eb="17">
      <t>ジュウ</t>
    </rPh>
    <phoneticPr fontId="22"/>
  </si>
  <si>
    <t>床面積</t>
    <rPh sb="0" eb="3">
      <t>ユカメンセキ</t>
    </rPh>
    <phoneticPr fontId="22"/>
  </si>
  <si>
    <t>得点</t>
    <rPh sb="0" eb="2">
      <t>トクテン</t>
    </rPh>
    <phoneticPr fontId="22"/>
  </si>
  <si>
    <t>耐震クラスB（大地震後に人命の安全および二次災害の防止が図られている。）または、動的解析を行った上で設計用水平震度KHを1.0以上としている。</t>
    <phoneticPr fontId="22"/>
  </si>
  <si>
    <t>製造熱量/熱源機消費エネルギー（1次エネルギー基準）/蓄熱槽有効蓄熱量/蓄熱槽利用効率</t>
    <phoneticPr fontId="22"/>
  </si>
  <si>
    <t>昇降機</t>
  </si>
  <si>
    <t>各種管制運転効果</t>
  </si>
  <si>
    <t>削減エネルギー量</t>
    <phoneticPr fontId="22"/>
  </si>
  <si>
    <t>太陽光発電設備評価</t>
  </si>
  <si>
    <t>発電効率/定格効率/年間効率</t>
    <phoneticPr fontId="22"/>
  </si>
  <si>
    <t>発電効率/総合効率/省エネルギー率</t>
  </si>
  <si>
    <t>セキュリティ連動による消照効果/換気停止の効果等</t>
  </si>
  <si>
    <t>NOx、SOx、ばいじんについて、発生源におけるガス又はばいじんの濃度が、大気汚染防止法、低NOx型小規模燃焼機器の推奨ガイドライン（環境省）ならびに地域の条例等で定められる現行の排出基準を上回っている。</t>
    <phoneticPr fontId="22"/>
  </si>
  <si>
    <t>NOx、SOx、ばいじんについて、発生源におけるガス又はばいじんの濃度が、大気汚染防止法、低NOx型小規模燃焼機器の推奨ガイドライン（環境省）ならびに地域の条例等で定められる現行の排出基準以下に抑えられている。</t>
    <phoneticPr fontId="22"/>
  </si>
  <si>
    <t>NOx、SOx、ばいじんについて、発生源におけるガス又はばいじんの濃度が、大気汚染防止法、低NOx型小規模燃焼機器の推奨ガイドライン（環境省）ならびに地域の条例等で定められる現行の排出基準より大幅に抑えられている。</t>
    <phoneticPr fontId="22"/>
  </si>
  <si>
    <t>一次ｴﾈﾙｷﾞｰ消費量</t>
    <rPh sb="0" eb="2">
      <t>イチジ</t>
    </rPh>
    <rPh sb="8" eb="11">
      <t>ショウヒリョウ</t>
    </rPh>
    <phoneticPr fontId="22"/>
  </si>
  <si>
    <r>
      <t>kg-CO</t>
    </r>
    <r>
      <rPr>
        <vertAlign val="subscript"/>
        <sz val="10"/>
        <rFont val="ＭＳ Ｐゴシック"/>
        <family val="3"/>
        <charset val="128"/>
      </rPr>
      <t>2</t>
    </r>
    <r>
      <rPr>
        <sz val="10"/>
        <rFont val="ＭＳ Ｐゴシック"/>
        <family val="3"/>
        <charset val="128"/>
      </rPr>
      <t>/年</t>
    </r>
    <rPh sb="7" eb="8">
      <t>ネン</t>
    </rPh>
    <phoneticPr fontId="22"/>
  </si>
  <si>
    <t>時間外や休日時には、居住者のフロア全体が空調可能なシステムとなっている。</t>
  </si>
  <si>
    <t>時間外や休日時には、居住者のゾーンのみ空調可能なシステムとなっている。</t>
  </si>
  <si>
    <t>湿度制御</t>
    <rPh sb="0" eb="2">
      <t>シツド</t>
    </rPh>
    <rPh sb="2" eb="4">
      <t>セイギョ</t>
    </rPh>
    <phoneticPr fontId="22"/>
  </si>
  <si>
    <t>事・物・飲・会・病・ホ・工・住</t>
    <rPh sb="0" eb="1">
      <t>コト</t>
    </rPh>
    <rPh sb="2" eb="3">
      <t>モノ</t>
    </rPh>
    <rPh sb="4" eb="5">
      <t>イン</t>
    </rPh>
    <rPh sb="6" eb="7">
      <t>カイ</t>
    </rPh>
    <rPh sb="8" eb="9">
      <t>ヤマイ</t>
    </rPh>
    <phoneticPr fontId="22"/>
  </si>
  <si>
    <t>学(大学等)</t>
    <rPh sb="0" eb="1">
      <t>ガク</t>
    </rPh>
    <phoneticPr fontId="22"/>
  </si>
  <si>
    <t>何も配慮していない。</t>
  </si>
  <si>
    <t>適切な換気機能を有し、熱橋となる部分の断熱補強、防湿層、通気層の設置等の結露防止対策がとられている。</t>
  </si>
  <si>
    <t>除湿機能を有し、熱橋となる部分の断熱補強、防湿層、通気層の設置等の結露防止対策がとられている。</t>
  </si>
  <si>
    <t>レベル３を満たさない。</t>
    <phoneticPr fontId="22"/>
  </si>
  <si>
    <t>簡易評価</t>
    <rPh sb="0" eb="2">
      <t>カンイ</t>
    </rPh>
    <rPh sb="2" eb="4">
      <t>ヒョウカ</t>
    </rPh>
    <phoneticPr fontId="22"/>
  </si>
  <si>
    <t>○○○</t>
    <phoneticPr fontId="22"/>
  </si>
  <si>
    <t>省エネルギー計画書による評価</t>
    <rPh sb="0" eb="1">
      <t>ショウ</t>
    </rPh>
    <rPh sb="6" eb="9">
      <t>ケイカクショ</t>
    </rPh>
    <rPh sb="12" eb="14">
      <t>ヒョウカ</t>
    </rPh>
    <phoneticPr fontId="22"/>
  </si>
  <si>
    <t>竣工段階</t>
    <rPh sb="0" eb="2">
      <t>シュンコウ</t>
    </rPh>
    <rPh sb="2" eb="4">
      <t>ダンカイ</t>
    </rPh>
    <phoneticPr fontId="22"/>
  </si>
  <si>
    <t>標準計算</t>
    <rPh sb="0" eb="2">
      <t>ヒョウジュン</t>
    </rPh>
    <rPh sb="2" eb="4">
      <t>ケイサン</t>
    </rPh>
    <phoneticPr fontId="22"/>
  </si>
  <si>
    <t>→LCCO2算定条件シート（標準計算）を入力</t>
    <rPh sb="6" eb="8">
      <t>サンテイ</t>
    </rPh>
    <rPh sb="8" eb="10">
      <t>ジョウケン</t>
    </rPh>
    <rPh sb="14" eb="16">
      <t>ヒョウジュン</t>
    </rPh>
    <rPh sb="16" eb="18">
      <t>ケイサン</t>
    </rPh>
    <rPh sb="20" eb="22">
      <t>ニュウリョク</t>
    </rPh>
    <phoneticPr fontId="22"/>
  </si>
  <si>
    <t>個別計算</t>
    <rPh sb="0" eb="2">
      <t>コベツ</t>
    </rPh>
    <rPh sb="2" eb="4">
      <t>ケイサン</t>
    </rPh>
    <phoneticPr fontId="22"/>
  </si>
  <si>
    <t>→LCCO2算定条件シート（個別計算）を入力</t>
    <rPh sb="6" eb="8">
      <t>サンテイ</t>
    </rPh>
    <rPh sb="8" eb="10">
      <t>ジョウケン</t>
    </rPh>
    <rPh sb="14" eb="16">
      <t>コベツ</t>
    </rPh>
    <rPh sb="16" eb="18">
      <t>ケイサン</t>
    </rPh>
    <rPh sb="20" eb="22">
      <t>ニュウリョク</t>
    </rPh>
    <phoneticPr fontId="22"/>
  </si>
  <si>
    <t>2) 個別用途入力</t>
    <rPh sb="3" eb="5">
      <t>コベツ</t>
    </rPh>
    <rPh sb="5" eb="7">
      <t>ヨウト</t>
    </rPh>
    <rPh sb="7" eb="9">
      <t>ニュウリョク</t>
    </rPh>
    <phoneticPr fontId="22"/>
  </si>
  <si>
    <t>①用途別延床面積　　</t>
    <rPh sb="1" eb="3">
      <t>ヨウト</t>
    </rPh>
    <rPh sb="3" eb="4">
      <t>ベツ</t>
    </rPh>
    <rPh sb="4" eb="5">
      <t>ノ</t>
    </rPh>
    <rPh sb="5" eb="6">
      <t>ユカ</t>
    </rPh>
    <rPh sb="6" eb="8">
      <t>メンセキ</t>
    </rPh>
    <phoneticPr fontId="22"/>
  </si>
  <si>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</si>
  <si>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</si>
  <si>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</si>
  <si>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</si>
  <si>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</si>
  <si>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</si>
  <si>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</si>
  <si>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2"/>
  </si>
  <si>
    <t>集会所</t>
    <rPh sb="2" eb="3">
      <t>ショ</t>
    </rPh>
    <phoneticPr fontId="22"/>
  </si>
  <si>
    <t xml:space="preserve"> 工場</t>
    <rPh sb="1" eb="3">
      <t>コウジョウ</t>
    </rPh>
    <phoneticPr fontId="22"/>
  </si>
  <si>
    <t>病院</t>
  </si>
  <si>
    <t xml:space="preserve"> 病院</t>
  </si>
  <si>
    <t>ホテル</t>
    <phoneticPr fontId="22"/>
  </si>
  <si>
    <t xml:space="preserve"> ホテル</t>
  </si>
  <si>
    <t>集合住宅</t>
  </si>
  <si>
    <t xml:space="preserve"> 集合住宅</t>
  </si>
  <si>
    <t>工場</t>
    <rPh sb="0" eb="2">
      <t>コウジョウ</t>
    </rPh>
    <phoneticPr fontId="22"/>
  </si>
  <si>
    <t>② 住居・宿泊部分の比率</t>
    <rPh sb="2" eb="4">
      <t>ジュウキョ</t>
    </rPh>
    <rPh sb="5" eb="7">
      <t>シュクハク</t>
    </rPh>
    <rPh sb="7" eb="9">
      <t>ブブン</t>
    </rPh>
    <rPh sb="10" eb="12">
      <t>ヒリツ</t>
    </rPh>
    <phoneticPr fontId="22"/>
  </si>
  <si>
    <t>合計</t>
    <rPh sb="0" eb="2">
      <t>ゴウケイ</t>
    </rPh>
    <phoneticPr fontId="22"/>
  </si>
  <si>
    <t>バージョン</t>
    <phoneticPr fontId="22"/>
  </si>
  <si>
    <t>空気取り入れ口は敷地周囲の状況を勘案して、汚染源のない方位に設けられている。かつ、各種排気口と6ｍ以上離れて設置されている。</t>
  </si>
  <si>
    <t>共用部</t>
    <rPh sb="0" eb="3">
      <t>キョウヨウブ</t>
    </rPh>
    <phoneticPr fontId="22"/>
  </si>
  <si>
    <t>事・学(大学等)・病・ホ・工・住</t>
    <rPh sb="4" eb="6">
      <t>ダイガク</t>
    </rPh>
    <rPh sb="6" eb="7">
      <t>トウ</t>
    </rPh>
    <rPh sb="15" eb="16">
      <t>ジュウ</t>
    </rPh>
    <phoneticPr fontId="22"/>
  </si>
  <si>
    <t>学（小中高）</t>
    <rPh sb="0" eb="1">
      <t>ガク</t>
    </rPh>
    <rPh sb="2" eb="3">
      <t>ショウ</t>
    </rPh>
    <rPh sb="3" eb="4">
      <t>チュウ</t>
    </rPh>
    <rPh sb="4" eb="5">
      <t>コウ</t>
    </rPh>
    <phoneticPr fontId="22"/>
  </si>
  <si>
    <t>何もない。</t>
  </si>
  <si>
    <t>建物全体・共用部分</t>
    <phoneticPr fontId="22"/>
  </si>
  <si>
    <t>学（小中高）</t>
    <rPh sb="0" eb="1">
      <t>ガク</t>
    </rPh>
    <rPh sb="2" eb="5">
      <t>ショウチュウコウ</t>
    </rPh>
    <phoneticPr fontId="22"/>
  </si>
  <si>
    <t>判定表</t>
    <rPh sb="0" eb="2">
      <t>ハンテイ</t>
    </rPh>
    <rPh sb="2" eb="3">
      <t>ヒョウ</t>
    </rPh>
    <phoneticPr fontId="22"/>
  </si>
  <si>
    <t>　評価項目</t>
  </si>
  <si>
    <t>（ア）</t>
  </si>
  <si>
    <t>児童生徒等から見て、黒板の外側15°以内の範囲に輝きの強い光源（昼光の場合は窓）がない。</t>
  </si>
  <si>
    <t>（イ）</t>
  </si>
  <si>
    <t>見え方を妨害するような光沢が、黒板及び机上面にない。</t>
  </si>
  <si>
    <t>（ウ）</t>
  </si>
  <si>
    <t>見え方を妨害するような電灯や明るい窓等が、テレビ及びコンピュータ等の画面に映じていない。</t>
  </si>
  <si>
    <t>ホ・住</t>
    <rPh sb="2" eb="3">
      <t>ジュウ</t>
    </rPh>
    <phoneticPr fontId="22"/>
  </si>
  <si>
    <t>レベル３を満たし、かつ壁面の鉛直面照度が100lx以上</t>
  </si>
  <si>
    <t>レベル３を満たし、かつ壁面の鉛直面照度が100lx以上</t>
    <rPh sb="11" eb="13">
      <t>ヘキメン</t>
    </rPh>
    <rPh sb="14" eb="15">
      <t>ナマリ</t>
    </rPh>
    <rPh sb="15" eb="17">
      <t>チョクメン</t>
    </rPh>
    <rPh sb="17" eb="19">
      <t>ショウド</t>
    </rPh>
    <rPh sb="25" eb="27">
      <t>イジョウ</t>
    </rPh>
    <phoneticPr fontId="22"/>
  </si>
  <si>
    <t>バックアップ設備のためのスペースが計画的に確保されている。</t>
  </si>
  <si>
    <t>生物環境の保全と創出</t>
    <rPh sb="2" eb="4">
      <t>カンキョウ</t>
    </rPh>
    <rPh sb="8" eb="10">
      <t>ソウシュツ</t>
    </rPh>
    <phoneticPr fontId="22"/>
  </si>
  <si>
    <t>事・学・物・飲・会・病・ホ・工・住</t>
    <rPh sb="0" eb="1">
      <t>コト</t>
    </rPh>
    <rPh sb="2" eb="3">
      <t>ガク</t>
    </rPh>
    <rPh sb="4" eb="5">
      <t>モノ</t>
    </rPh>
    <rPh sb="6" eb="7">
      <t>イン</t>
    </rPh>
    <rPh sb="8" eb="9">
      <t>カイ</t>
    </rPh>
    <rPh sb="10" eb="11">
      <t>ヤマイ</t>
    </rPh>
    <phoneticPr fontId="22"/>
  </si>
  <si>
    <t>対応可能な</t>
    <rPh sb="0" eb="2">
      <t>タイオウ</t>
    </rPh>
    <rPh sb="2" eb="3">
      <t>カ</t>
    </rPh>
    <rPh sb="3" eb="4">
      <t>ノウ</t>
    </rPh>
    <phoneticPr fontId="22"/>
  </si>
  <si>
    <t>同一フロアで冷暖房のゾーニングが無く、１系統で空調システムが計画されている。空調モードの選択では冷暖房の切り替えが必要である。</t>
  </si>
  <si>
    <t>単一ダクト方式、２管式ＦＣＵ方式（ゾーニングがない、冷暖切り替え）</t>
  </si>
  <si>
    <t>方位別、ペリメータとインテリア別や内部負荷の分布などを考慮し、大まかな空調のゾーニングがなされており、冷房・暖房は切り替えとなる空調システムとしている。</t>
    <phoneticPr fontId="22"/>
  </si>
  <si>
    <t>⑦　外部ガラスや給排気口、照明など高所の維持管理作業を安全に行える設計をしている。</t>
    <phoneticPr fontId="22"/>
  </si>
  <si>
    <t>⑨　清掃時用の適度な照度の設定が可能である。</t>
    <phoneticPr fontId="22"/>
  </si>
  <si>
    <t>⑩　バルブ等の日常的に調整が必要な機器は、操作が容易な位置に設定されている。</t>
    <phoneticPr fontId="22"/>
  </si>
  <si>
    <t xml:space="preserve"> Q1 2.1</t>
  </si>
  <si>
    <t>室温設定</t>
  </si>
  <si>
    <t>2.1.2</t>
  </si>
  <si>
    <t>負荷変動・追従制御性</t>
  </si>
  <si>
    <t>2.1.3</t>
  </si>
  <si>
    <t>外皮性能</t>
  </si>
  <si>
    <t>-</t>
    <phoneticPr fontId="22"/>
  </si>
  <si>
    <t>-</t>
    <phoneticPr fontId="22"/>
  </si>
  <si>
    <t>レベル3</t>
    <phoneticPr fontId="22"/>
  </si>
  <si>
    <t>レベル4</t>
    <phoneticPr fontId="22"/>
  </si>
  <si>
    <t>レベル5</t>
    <phoneticPr fontId="22"/>
  </si>
  <si>
    <t>ホテル</t>
    <phoneticPr fontId="22"/>
  </si>
  <si>
    <t>人・時間あたり指標</t>
    <rPh sb="0" eb="1">
      <t>ニン</t>
    </rPh>
    <rPh sb="2" eb="4">
      <t>ジカン</t>
    </rPh>
    <rPh sb="7" eb="9">
      <t>シヒョウ</t>
    </rPh>
    <phoneticPr fontId="22"/>
  </si>
  <si>
    <t>レベル3</t>
    <phoneticPr fontId="22"/>
  </si>
  <si>
    <t>レベル4</t>
    <phoneticPr fontId="22"/>
  </si>
  <si>
    <t>レベル5</t>
    <phoneticPr fontId="22"/>
  </si>
  <si>
    <t>事務所</t>
    <phoneticPr fontId="22"/>
  </si>
  <si>
    <r>
      <t>■LCCO</t>
    </r>
    <r>
      <rPr>
        <b/>
        <vertAlign val="subscript"/>
        <sz val="12"/>
        <rFont val="ＭＳ Ｐゴシック"/>
        <family val="3"/>
        <charset val="128"/>
      </rPr>
      <t>2</t>
    </r>
    <r>
      <rPr>
        <b/>
        <sz val="12"/>
        <rFont val="ＭＳ Ｐゴシック"/>
        <family val="3"/>
        <charset val="128"/>
      </rPr>
      <t>算定条件シート(標準計算）</t>
    </r>
    <rPh sb="14" eb="16">
      <t>ヒョウジュン</t>
    </rPh>
    <rPh sb="16" eb="18">
      <t>ケイサン</t>
    </rPh>
    <phoneticPr fontId="22"/>
  </si>
  <si>
    <t>バウンダリー</t>
    <phoneticPr fontId="22"/>
  </si>
  <si>
    <r>
      <t>ｍ</t>
    </r>
    <r>
      <rPr>
        <vertAlign val="superscript"/>
        <sz val="10"/>
        <rFont val="ＭＳ Ｐゴシック"/>
        <family val="3"/>
        <charset val="128"/>
      </rPr>
      <t>3</t>
    </r>
    <r>
      <rPr>
        <sz val="10"/>
        <rFont val="ＭＳ Ｐゴシック"/>
        <family val="3"/>
        <charset val="128"/>
      </rPr>
      <t>/㎡</t>
    </r>
    <phoneticPr fontId="22"/>
  </si>
  <si>
    <t>□　□</t>
    <phoneticPr fontId="22"/>
  </si>
  <si>
    <t>○○</t>
    <phoneticPr fontId="22"/>
  </si>
  <si>
    <t>kg/㎡</t>
    <phoneticPr fontId="22"/>
  </si>
  <si>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2"/>
  </si>
  <si>
    <t>〃</t>
    <phoneticPr fontId="22"/>
  </si>
  <si>
    <t>修繕・更新・</t>
    <phoneticPr fontId="22"/>
  </si>
  <si>
    <t>解体段階</t>
    <phoneticPr fontId="22"/>
  </si>
  <si>
    <t>①参照値／
②建築物の取組み</t>
    <phoneticPr fontId="22"/>
  </si>
  <si>
    <t>③上記+②以外の
　オンサイト手法</t>
    <phoneticPr fontId="22"/>
  </si>
  <si>
    <t>－</t>
    <phoneticPr fontId="22"/>
  </si>
  <si>
    <t>kg-CO2/年㎡</t>
    <phoneticPr fontId="22"/>
  </si>
  <si>
    <t>kg-CO2/年㎡</t>
    <phoneticPr fontId="22"/>
  </si>
  <si>
    <t>kg-CO2/年㎡</t>
    <phoneticPr fontId="22"/>
  </si>
  <si>
    <t>－</t>
    <phoneticPr fontId="22"/>
  </si>
  <si>
    <t>④上記+
　オフサイト手法</t>
    <phoneticPr fontId="22"/>
  </si>
  <si>
    <t>kg-CO2/年㎡</t>
    <phoneticPr fontId="22"/>
  </si>
  <si>
    <t>(a)　グリーン電力証書によるカーボンオフセット</t>
    <phoneticPr fontId="22"/>
  </si>
  <si>
    <t>(b)グリーン熱証書によるカーボンオフセット</t>
    <phoneticPr fontId="22"/>
  </si>
  <si>
    <t>（ｃ）その他カーボンクレジット</t>
    <phoneticPr fontId="22"/>
  </si>
  <si>
    <t>(d)調整後排出量（調整後排出係数による）と実排出量の差</t>
    <phoneticPr fontId="22"/>
  </si>
  <si>
    <r>
      <t xml:space="preserve">2.2.1 </t>
    </r>
    <r>
      <rPr>
        <b/>
        <sz val="10"/>
        <rFont val="ＭＳ Ｐゴシック"/>
        <family val="3"/>
        <charset val="128"/>
      </rPr>
      <t>躯体材料の耐用年数</t>
    </r>
    <rPh sb="6" eb="8">
      <t>クタイ</t>
    </rPh>
    <rPh sb="8" eb="10">
      <t>ザイリョウ</t>
    </rPh>
    <rPh sb="11" eb="13">
      <t>タイヨウ</t>
    </rPh>
    <rPh sb="13" eb="15">
      <t>ネンスウ</t>
    </rPh>
    <phoneticPr fontId="22"/>
  </si>
  <si>
    <t>10年未満</t>
  </si>
  <si>
    <t>10年以上～20年未満</t>
  </si>
  <si>
    <t>20年</t>
  </si>
  <si>
    <t>冬期20℃以上 、夏期25℃以下の設定。</t>
    <rPh sb="5" eb="7">
      <t>イジョウ</t>
    </rPh>
    <rPh sb="14" eb="16">
      <t>イカ</t>
    </rPh>
    <phoneticPr fontId="22"/>
  </si>
  <si>
    <t>冬期22℃以上、夏期24℃以下の設定。</t>
    <rPh sb="5" eb="7">
      <t>イジョウ</t>
    </rPh>
    <rPh sb="13" eb="15">
      <t>イカ</t>
    </rPh>
    <phoneticPr fontId="22"/>
  </si>
  <si>
    <t>冬期20℃以上、夏期25℃以下の室温を実現するための設備容量が確保されている。</t>
    <rPh sb="5" eb="7">
      <t>イジョウ</t>
    </rPh>
    <rPh sb="13" eb="15">
      <t>イカ</t>
    </rPh>
    <phoneticPr fontId="22"/>
  </si>
  <si>
    <t>冬期22℃、夏期24℃の室温を実現することが可能な設備容量が確保されている。</t>
    <phoneticPr fontId="22"/>
  </si>
  <si>
    <t>冬期22℃以上、夏期24℃以下の室温を実現することが可能な設備容量が確保されている。</t>
    <rPh sb="5" eb="7">
      <t>イジョウ</t>
    </rPh>
    <rPh sb="13" eb="15">
      <t>イカ</t>
    </rPh>
    <phoneticPr fontId="22"/>
  </si>
  <si>
    <t>ASHRAE快適域やPOEM-Oを参考に冬期20℃～22℃、夏期24℃～26℃の範囲を設定している。</t>
    <phoneticPr fontId="22"/>
  </si>
  <si>
    <r>
      <t>LR2</t>
    </r>
    <r>
      <rPr>
        <b/>
        <sz val="12"/>
        <rFont val="ＭＳ Ｐゴシック"/>
        <family val="3"/>
        <charset val="128"/>
      </rPr>
      <t>　資源・マテリアル</t>
    </r>
    <rPh sb="4" eb="6">
      <t>シゲン</t>
    </rPh>
    <phoneticPr fontId="22"/>
  </si>
  <si>
    <t>水資源保護</t>
    <rPh sb="0" eb="1">
      <t>ミズ</t>
    </rPh>
    <rPh sb="1" eb="3">
      <t>シゲン</t>
    </rPh>
    <rPh sb="3" eb="5">
      <t>ホゴ</t>
    </rPh>
    <phoneticPr fontId="22"/>
  </si>
  <si>
    <t>事・学・物・飲・会・病・ホ･工・住</t>
    <rPh sb="0" eb="1">
      <t>コト</t>
    </rPh>
    <rPh sb="2" eb="3">
      <t>ガク</t>
    </rPh>
    <rPh sb="4" eb="5">
      <t>モノ</t>
    </rPh>
    <rPh sb="6" eb="7">
      <t>イン</t>
    </rPh>
    <rPh sb="8" eb="9">
      <t>カイ</t>
    </rPh>
    <rPh sb="10" eb="11">
      <t>ヤマイ</t>
    </rPh>
    <rPh sb="16" eb="17">
      <t>ジュウ</t>
    </rPh>
    <phoneticPr fontId="22"/>
  </si>
  <si>
    <t>主要水栓に節水コマなどが取り付けられている。</t>
  </si>
  <si>
    <t>雨水利用・雑排水等の利用</t>
    <rPh sb="0" eb="2">
      <t>ｳｽｲ</t>
    </rPh>
    <rPh sb="2" eb="4">
      <t>ﾘﾖｳ</t>
    </rPh>
    <rPh sb="5" eb="8">
      <t>ｻﾞﾂﾊｲｽｲ</t>
    </rPh>
    <rPh sb="8" eb="9">
      <t>ﾄｳ</t>
    </rPh>
    <rPh sb="10" eb="12">
      <t>ﾘﾖｳ</t>
    </rPh>
    <phoneticPr fontId="64" type="noConversion"/>
  </si>
  <si>
    <r>
      <t xml:space="preserve">1.2.2 </t>
    </r>
    <r>
      <rPr>
        <b/>
        <sz val="10"/>
        <rFont val="ＭＳ Ｐゴシック"/>
        <family val="3"/>
        <charset val="128"/>
      </rPr>
      <t>雑排水等利用システム導入の有無</t>
    </r>
    <rPh sb="9" eb="10">
      <t>トウ</t>
    </rPh>
    <rPh sb="11" eb="12">
      <t>ヨウ</t>
    </rPh>
    <phoneticPr fontId="22"/>
  </si>
  <si>
    <t>小中高は既存も新築の基準</t>
    <rPh sb="0" eb="3">
      <t>ショウチュウコウ</t>
    </rPh>
    <rPh sb="4" eb="6">
      <t>キソン</t>
    </rPh>
    <rPh sb="7" eb="9">
      <t>シンチク</t>
    </rPh>
    <rPh sb="10" eb="12">
      <t>キジュン</t>
    </rPh>
    <phoneticPr fontId="22"/>
  </si>
  <si>
    <t>学校施設として標準的な取り組みをしている</t>
    <rPh sb="0" eb="2">
      <t>ガッコウ</t>
    </rPh>
    <rPh sb="2" eb="4">
      <t>シセツ</t>
    </rPh>
    <rPh sb="7" eb="10">
      <t>ヒョウジュンテキ</t>
    </rPh>
    <rPh sb="11" eb="12">
      <t>ト</t>
    </rPh>
    <rPh sb="13" eb="14">
      <t>ク</t>
    </rPh>
    <phoneticPr fontId="22"/>
  </si>
  <si>
    <t>主要構造部が非木造躯体（RC造/SRC造/S造）である場合で、評価する取組み表の評価ポイントの合計値が3ポイント以上</t>
    <rPh sb="56" eb="58">
      <t>イジョウ</t>
    </rPh>
    <phoneticPr fontId="22"/>
  </si>
  <si>
    <t>主要構造部が非木造躯体（RC造/SRC造/S造）である場合で、評価する取組み表の評価ポイントの合計値が5ポイント以上</t>
    <rPh sb="56" eb="58">
      <t>イジョウ</t>
    </rPh>
    <phoneticPr fontId="22"/>
  </si>
  <si>
    <t>主要構造部に強度の高い材料を使用することにより、使用材料の軽減化を図っている</t>
    <rPh sb="0" eb="2">
      <t>シュヨウ</t>
    </rPh>
    <rPh sb="2" eb="4">
      <t>コウゾウ</t>
    </rPh>
    <rPh sb="4" eb="5">
      <t>ブ</t>
    </rPh>
    <rPh sb="6" eb="8">
      <t>キョウド</t>
    </rPh>
    <rPh sb="9" eb="10">
      <t>タカ</t>
    </rPh>
    <rPh sb="11" eb="13">
      <t>ザイリョウ</t>
    </rPh>
    <rPh sb="14" eb="16">
      <t>シヨウ</t>
    </rPh>
    <rPh sb="24" eb="26">
      <t>シヨウ</t>
    </rPh>
    <rPh sb="26" eb="28">
      <t>ザイリョウ</t>
    </rPh>
    <rPh sb="29" eb="32">
      <t>ケイゲンカ</t>
    </rPh>
    <rPh sb="33" eb="34">
      <t>ハカ</t>
    </rPh>
    <phoneticPr fontId="22"/>
  </si>
  <si>
    <t>Fc=36以上60未満　かつF=390以上</t>
    <rPh sb="19" eb="21">
      <t>イジョウ</t>
    </rPh>
    <phoneticPr fontId="22"/>
  </si>
  <si>
    <t>F=325以上　355未満</t>
    <rPh sb="11" eb="13">
      <t>ミマン</t>
    </rPh>
    <phoneticPr fontId="22"/>
  </si>
  <si>
    <t>プレストレスコンクリートの使用　（部材断面を小さくする事で、使用材料の削減に寄与）</t>
  </si>
  <si>
    <t>その他これに準ずるもの</t>
  </si>
  <si>
    <t>既存建築躯体等の継続使用</t>
    <rPh sb="0" eb="2">
      <t>キソン</t>
    </rPh>
    <rPh sb="2" eb="4">
      <t>ケンチク</t>
    </rPh>
    <rPh sb="4" eb="6">
      <t>クタイ</t>
    </rPh>
    <rPh sb="6" eb="7">
      <t>トウ</t>
    </rPh>
    <rPh sb="8" eb="10">
      <t>ケイゾク</t>
    </rPh>
    <rPh sb="10" eb="12">
      <t>シヨウ</t>
    </rPh>
    <phoneticPr fontId="22"/>
  </si>
  <si>
    <t>既存の建築躯体を再利用している。</t>
  </si>
  <si>
    <t>レベル５は、スコアシートに採用したリサイクル資材名を記述</t>
    <rPh sb="13" eb="15">
      <t>サイヨウ</t>
    </rPh>
    <rPh sb="22" eb="24">
      <t>シザイ</t>
    </rPh>
    <rPh sb="24" eb="25">
      <t>メイ</t>
    </rPh>
    <rPh sb="26" eb="28">
      <t>キジュツ</t>
    </rPh>
    <phoneticPr fontId="22"/>
  </si>
  <si>
    <t>リサイクル資材の種類と採用した部位（30字以内）</t>
    <rPh sb="5" eb="7">
      <t>シザイ</t>
    </rPh>
    <rPh sb="8" eb="10">
      <t>シュルイ</t>
    </rPh>
    <rPh sb="11" eb="13">
      <t>サイヨウ</t>
    </rPh>
    <rPh sb="15" eb="17">
      <t>ブイ</t>
    </rPh>
    <rPh sb="20" eb="21">
      <t>ジ</t>
    </rPh>
    <rPh sb="21" eb="23">
      <t>イナイ</t>
    </rPh>
    <phoneticPr fontId="22"/>
  </si>
  <si>
    <t>リサイクル資材の例</t>
    <rPh sb="5" eb="7">
      <t>シザイ</t>
    </rPh>
    <rPh sb="8" eb="9">
      <t>レイ</t>
    </rPh>
    <phoneticPr fontId="22"/>
  </si>
  <si>
    <t>品目名</t>
    <rPh sb="0" eb="2">
      <t>ヒンモク</t>
    </rPh>
    <rPh sb="2" eb="3">
      <t>メイ</t>
    </rPh>
    <phoneticPr fontId="22"/>
  </si>
  <si>
    <t>①グリーン調達品目（公共工事）</t>
    <rPh sb="5" eb="7">
      <t>チョウタツ</t>
    </rPh>
    <rPh sb="7" eb="9">
      <t>ヒンモク</t>
    </rPh>
    <rPh sb="10" eb="12">
      <t>コウキョウ</t>
    </rPh>
    <rPh sb="12" eb="14">
      <t>コウジ</t>
    </rPh>
    <phoneticPr fontId="22"/>
  </si>
  <si>
    <t>高炉スラグ骨材</t>
    <rPh sb="0" eb="2">
      <t>コウロ</t>
    </rPh>
    <rPh sb="5" eb="7">
      <t>コツザイ</t>
    </rPh>
    <phoneticPr fontId="22"/>
  </si>
  <si>
    <t>清掃業務において感染症対策に配慮した方法を採用している。</t>
    <rPh sb="0" eb="2">
      <t>セイソウ</t>
    </rPh>
    <rPh sb="2" eb="4">
      <t>ギョウム</t>
    </rPh>
    <rPh sb="8" eb="11">
      <t>カンセンショウ</t>
    </rPh>
    <rPh sb="11" eb="13">
      <t>タイサク</t>
    </rPh>
    <rPh sb="14" eb="16">
      <t>ハイリョ</t>
    </rPh>
    <rPh sb="18" eb="20">
      <t>ホウホウ</t>
    </rPh>
    <rPh sb="21" eb="23">
      <t>サイヨウ</t>
    </rPh>
    <phoneticPr fontId="22"/>
  </si>
  <si>
    <t>5) 安全対策</t>
    <rPh sb="3" eb="5">
      <t>アンゼン</t>
    </rPh>
    <rPh sb="5" eb="7">
      <t>タイサク</t>
    </rPh>
    <phoneticPr fontId="22"/>
  </si>
  <si>
    <t>清掃業務において安全に配慮した方法を採用している。</t>
    <rPh sb="0" eb="2">
      <t>セイソウ</t>
    </rPh>
    <rPh sb="2" eb="4">
      <t>ギョウム</t>
    </rPh>
    <rPh sb="8" eb="10">
      <t>アンゼン</t>
    </rPh>
    <rPh sb="11" eb="13">
      <t>ハイリョ</t>
    </rPh>
    <rPh sb="15" eb="17">
      <t>ホウホウ</t>
    </rPh>
    <rPh sb="18" eb="20">
      <t>サイヨウ</t>
    </rPh>
    <phoneticPr fontId="22"/>
  </si>
  <si>
    <t>判定基準</t>
  </si>
  <si>
    <t>シックハウス配慮</t>
  </si>
  <si>
    <t>急性経口毒性</t>
  </si>
  <si>
    <t>VOC濃度</t>
  </si>
  <si>
    <t>有害性が判明している化学物質</t>
  </si>
  <si>
    <r>
      <t xml:space="preserve">1.3.3 </t>
    </r>
    <r>
      <rPr>
        <b/>
        <sz val="10"/>
        <rFont val="ＭＳ Ｐゴシック"/>
        <family val="3"/>
        <charset val="128"/>
      </rPr>
      <t>衛生管理業務</t>
    </r>
    <rPh sb="6" eb="8">
      <t>エイセイ</t>
    </rPh>
    <rPh sb="8" eb="10">
      <t>カンリ</t>
    </rPh>
    <rPh sb="10" eb="12">
      <t>ギョウム</t>
    </rPh>
    <phoneticPr fontId="22"/>
  </si>
  <si>
    <t>①換気設備の重要度に応じて系統を区分し，災害時においては重要度の高い系統を優先的に運転するほか，負荷容量を下げた運転も可能となるよう検討している。</t>
    <phoneticPr fontId="22"/>
  </si>
  <si>
    <t>②熱源種（電気，ガスなど）の分散化，二重化，バックアップを行っている。</t>
    <phoneticPr fontId="22"/>
  </si>
  <si>
    <t>③地震時の部分的被害が全体機能の停止を引き起こさないような対策（吊配管など）を行っている。</t>
    <phoneticPr fontId="22"/>
  </si>
  <si>
    <t>④空調設備の重要度に応じて系統を区分し，災害時においては重要度の高い系統を優先的に運転するほか，負荷容量を下げた運転も可能となるよう計画している。</t>
    <phoneticPr fontId="22"/>
  </si>
  <si>
    <r>
      <t xml:space="preserve">2.4.2 </t>
    </r>
    <r>
      <rPr>
        <b/>
        <sz val="10"/>
        <rFont val="ＭＳ Ｐゴシック"/>
        <family val="3"/>
        <charset val="128"/>
      </rPr>
      <t>給排水・衛生設備</t>
    </r>
    <phoneticPr fontId="22"/>
  </si>
  <si>
    <t>事・学・会・病・ホ・工・住</t>
    <phoneticPr fontId="22"/>
  </si>
  <si>
    <t>物・飲</t>
    <phoneticPr fontId="22"/>
  </si>
  <si>
    <t>評価する取組みが1つ。</t>
    <phoneticPr fontId="22"/>
  </si>
  <si>
    <t>①節水型器具を採用している。設置されている器具総数の過半以上で採用した場合に限る。節水型器具としては、エコマーク商品やグリーン購入法「特定調達品目」として認定されたもの、あるいは同等の性能を有する機器とする。（例：大便器6L/回程度、小便器4L/回程度）</t>
    <phoneticPr fontId="22"/>
  </si>
  <si>
    <t>②可能な限り配管の系統を区分し，災害時の使用不能部分の低減を図っている。</t>
    <phoneticPr fontId="22"/>
  </si>
  <si>
    <t>③災害時、下水道が機能しないことを想定し、汚水（雑排水）の一時的貯留機能が確保できるピットを設けている。</t>
    <phoneticPr fontId="22"/>
  </si>
  <si>
    <t>④受水槽，高架水槽は，二基の水槽をそれぞれに分離して設置している。</t>
    <phoneticPr fontId="22"/>
  </si>
  <si>
    <t>⑤井水，中水などの利用が可能なように計画している。</t>
    <phoneticPr fontId="22"/>
  </si>
  <si>
    <t>②無停電電源設備を備えている。</t>
    <phoneticPr fontId="22"/>
  </si>
  <si>
    <r>
      <t xml:space="preserve">2.4.4 </t>
    </r>
    <r>
      <rPr>
        <b/>
        <sz val="10"/>
        <rFont val="ＭＳ Ｐゴシック"/>
        <family val="3"/>
        <charset val="128"/>
      </rPr>
      <t>機械・配管支持方法</t>
    </r>
    <phoneticPr fontId="22"/>
  </si>
  <si>
    <r>
      <t xml:space="preserve">2.4.5 </t>
    </r>
    <r>
      <rPr>
        <b/>
        <sz val="10"/>
        <rFont val="ＭＳ Ｐゴシック"/>
        <family val="3"/>
        <charset val="128"/>
      </rPr>
      <t>通信・情報設備</t>
    </r>
    <phoneticPr fontId="22"/>
  </si>
  <si>
    <r>
      <t>方位別やペリメータとインテリア別など空調系統が分かれている上、さらに細かな空調ゾーニング（概ね40m</t>
    </r>
    <r>
      <rPr>
        <vertAlign val="superscript"/>
        <sz val="9"/>
        <rFont val="ＭＳ Ｐゴシック"/>
        <family val="3"/>
        <charset val="128"/>
      </rPr>
      <t>2</t>
    </r>
    <r>
      <rPr>
        <sz val="9"/>
        <rFont val="ＭＳ Ｐゴシック"/>
        <family val="3"/>
        <charset val="128"/>
      </rPr>
      <t>以下）がされている。さらにゾーン別に冷房・暖房の選択が自由な空調システムとしている。</t>
    </r>
    <phoneticPr fontId="22"/>
  </si>
  <si>
    <t>ＰＩＤ制御による温度・室内湿度になっている。</t>
    <phoneticPr fontId="22"/>
  </si>
  <si>
    <t>快適センサーなどによる温度・湿度制御（快適範囲における温度制御）が可能である。</t>
    <phoneticPr fontId="22"/>
  </si>
  <si>
    <t>住居・宿泊部分</t>
    <phoneticPr fontId="22"/>
  </si>
  <si>
    <t>竣工年</t>
    <rPh sb="0" eb="2">
      <t>ｼｭﾝｺｳ</t>
    </rPh>
    <rPh sb="2" eb="3">
      <t>ﾈﾝ</t>
    </rPh>
    <phoneticPr fontId="35" type="noConversion"/>
  </si>
  <si>
    <t>評価の実施日</t>
    <rPh sb="0" eb="2">
      <t>ヒョウカ</t>
    </rPh>
    <rPh sb="3" eb="6">
      <t>ジッシビ</t>
    </rPh>
    <phoneticPr fontId="22"/>
  </si>
  <si>
    <t>敷地面積</t>
    <rPh sb="0" eb="2">
      <t>ｼｷﾁ</t>
    </rPh>
    <rPh sb="2" eb="4">
      <t>ﾒﾝｾｷ</t>
    </rPh>
    <phoneticPr fontId="35" type="noConversion"/>
  </si>
  <si>
    <t>作成者</t>
    <rPh sb="0" eb="3">
      <t>サクセイシャ</t>
    </rPh>
    <phoneticPr fontId="22"/>
  </si>
  <si>
    <r>
      <t>Q1</t>
    </r>
    <r>
      <rPr>
        <sz val="11"/>
        <rFont val="ＭＳ Ｐゴシック"/>
        <family val="3"/>
        <charset val="128"/>
      </rPr>
      <t>　
室内環境</t>
    </r>
    <rPh sb="4" eb="6">
      <t>シツナイ</t>
    </rPh>
    <rPh sb="6" eb="8">
      <t>カンキョウ</t>
    </rPh>
    <phoneticPr fontId="22"/>
  </si>
  <si>
    <t>建築面積</t>
    <rPh sb="0" eb="2">
      <t>ｹﾝﾁｸ</t>
    </rPh>
    <rPh sb="2" eb="4">
      <t>ﾒﾝｾｷ</t>
    </rPh>
    <phoneticPr fontId="35" type="noConversion"/>
  </si>
  <si>
    <t>確認日</t>
    <rPh sb="0" eb="2">
      <t>カクニン</t>
    </rPh>
    <rPh sb="2" eb="3">
      <t>ビ</t>
    </rPh>
    <phoneticPr fontId="22"/>
  </si>
  <si>
    <t>Rank(red star)</t>
    <phoneticPr fontId="22"/>
  </si>
  <si>
    <t>延床面積</t>
    <rPh sb="0" eb="1">
      <t>ﾉ</t>
    </rPh>
    <rPh sb="1" eb="4">
      <t>ﾕｶﾒﾝｾｷ</t>
    </rPh>
    <phoneticPr fontId="35" type="noConversion"/>
  </si>
  <si>
    <t>確認者</t>
    <rPh sb="0" eb="2">
      <t>カクニン</t>
    </rPh>
    <rPh sb="2" eb="3">
      <t>シャ</t>
    </rPh>
    <phoneticPr fontId="22"/>
  </si>
  <si>
    <t>(blank star)</t>
    <phoneticPr fontId="22"/>
  </si>
  <si>
    <t>改修工事期間</t>
  </si>
  <si>
    <t>改修対象項目</t>
  </si>
  <si>
    <t>躯体</t>
  </si>
  <si>
    <t>改修目的</t>
  </si>
  <si>
    <t>外装</t>
  </si>
  <si>
    <t>改修後の想定使用年数</t>
    <rPh sb="6" eb="8">
      <t>シヨウ</t>
    </rPh>
    <phoneticPr fontId="22"/>
  </si>
  <si>
    <t>内装</t>
  </si>
  <si>
    <t>現在までの主な改修履歴</t>
  </si>
  <si>
    <t>設備</t>
  </si>
  <si>
    <r>
      <t>2-1</t>
    </r>
    <r>
      <rPr>
        <b/>
        <sz val="12"/>
        <color indexed="9"/>
        <rFont val="ＭＳ Ｐゴシック"/>
        <family val="3"/>
        <charset val="128"/>
      </rPr>
      <t>　建築物の環境効率（</t>
    </r>
    <r>
      <rPr>
        <b/>
        <sz val="12"/>
        <color indexed="9"/>
        <rFont val="Arial"/>
        <family val="2"/>
      </rPr>
      <t>BEE</t>
    </r>
    <r>
      <rPr>
        <b/>
        <sz val="12"/>
        <color indexed="9"/>
        <rFont val="ＭＳ Ｐゴシック"/>
        <family val="3"/>
        <charset val="128"/>
      </rPr>
      <t>ランク</t>
    </r>
    <r>
      <rPr>
        <b/>
        <sz val="12"/>
        <color indexed="9"/>
        <rFont val="Arial"/>
        <family val="2"/>
      </rPr>
      <t>&amp;</t>
    </r>
    <r>
      <rPr>
        <b/>
        <sz val="12"/>
        <color indexed="9"/>
        <rFont val="ＭＳ Ｐゴシック"/>
        <family val="3"/>
        <charset val="128"/>
      </rPr>
      <t>チャート）</t>
    </r>
    <rPh sb="4" eb="7">
      <t>ｹﾝﾁｸﾌﾞﾂ</t>
    </rPh>
    <phoneticPr fontId="35" type="noConversion"/>
  </si>
  <si>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22"/>
  </si>
  <si>
    <r>
      <t>2-3</t>
    </r>
    <r>
      <rPr>
        <b/>
        <sz val="12"/>
        <color indexed="9"/>
        <rFont val="ＭＳ Ｐゴシック"/>
        <family val="3"/>
        <charset val="128"/>
      </rPr>
      <t>　大項目の評価（ﾚｰﾀﾞｰﾁｬｰﾄ）</t>
    </r>
    <rPh sb="4" eb="7">
      <t>ダイコウモク</t>
    </rPh>
    <rPh sb="8" eb="10">
      <t>ヒョウカ</t>
    </rPh>
    <phoneticPr fontId="22"/>
  </si>
  <si>
    <t>基準</t>
    <rPh sb="0" eb="2">
      <t>キジュン</t>
    </rPh>
    <phoneticPr fontId="22"/>
  </si>
  <si>
    <t>評価</t>
    <rPh sb="0" eb="2">
      <t>ヒョウカ</t>
    </rPh>
    <phoneticPr fontId="22"/>
  </si>
  <si>
    <t>原点</t>
    <rPh sb="0" eb="2">
      <t>ゲンテン</t>
    </rPh>
    <phoneticPr fontId="22"/>
  </si>
  <si>
    <r>
      <t>BEE</t>
    </r>
    <r>
      <rPr>
        <sz val="11"/>
        <rFont val="ＭＳ Ｐゴシック"/>
        <family val="3"/>
        <charset val="128"/>
      </rPr>
      <t>の分母側</t>
    </r>
    <r>
      <rPr>
        <sz val="11"/>
        <rFont val="Arial"/>
        <family val="2"/>
      </rPr>
      <t>(L)</t>
    </r>
    <rPh sb="4" eb="6">
      <t>ブンボ</t>
    </rPh>
    <rPh sb="6" eb="7">
      <t>ガワ</t>
    </rPh>
    <phoneticPr fontId="22"/>
  </si>
  <si>
    <t>X目盛線</t>
    <rPh sb="1" eb="3">
      <t>メモ</t>
    </rPh>
    <rPh sb="3" eb="4">
      <t>セン</t>
    </rPh>
    <phoneticPr fontId="22"/>
  </si>
  <si>
    <t>Y目盛線</t>
    <rPh sb="1" eb="3">
      <t>メモ</t>
    </rPh>
    <rPh sb="3" eb="4">
      <t>セン</t>
    </rPh>
    <phoneticPr fontId="22"/>
  </si>
  <si>
    <r>
      <t>BEE</t>
    </r>
    <r>
      <rPr>
        <sz val="11"/>
        <rFont val="ＭＳ Ｐゴシック"/>
        <family val="3"/>
        <charset val="128"/>
      </rPr>
      <t>の分子側</t>
    </r>
    <r>
      <rPr>
        <sz val="11"/>
        <rFont val="Arial"/>
        <family val="2"/>
      </rPr>
      <t>(Q)</t>
    </r>
    <rPh sb="4" eb="6">
      <t>ブンシ</t>
    </rPh>
    <rPh sb="6" eb="7">
      <t>ガワ</t>
    </rPh>
    <phoneticPr fontId="22"/>
  </si>
  <si>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22"/>
  </si>
  <si>
    <t>椅子の移動音、物の落下音がかなり気になる。</t>
    <phoneticPr fontId="22"/>
  </si>
  <si>
    <t>椅子の移動音、物の落下音が小さく聞こえる。　</t>
    <phoneticPr fontId="22"/>
  </si>
  <si>
    <t>椅子の移動音、物の落下音が小さく聞こえる。</t>
    <phoneticPr fontId="22"/>
  </si>
  <si>
    <t>椅子の移動音、物の落下音がほとんど聞こえない。</t>
    <phoneticPr fontId="22"/>
  </si>
  <si>
    <t>Lr-65より悪い</t>
    <phoneticPr fontId="22"/>
  </si>
  <si>
    <t>Lr-55より悪い</t>
    <phoneticPr fontId="22"/>
  </si>
  <si>
    <t>Lr-65</t>
    <phoneticPr fontId="22"/>
  </si>
  <si>
    <r>
      <t>解体段階のCO</t>
    </r>
    <r>
      <rPr>
        <vertAlign val="subscript"/>
        <sz val="10"/>
        <rFont val="ＭＳ Ｐゴシック"/>
        <family val="3"/>
        <charset val="128"/>
      </rPr>
      <t>2</t>
    </r>
    <r>
      <rPr>
        <sz val="10"/>
        <rFont val="ＭＳ Ｐゴシック"/>
        <family val="3"/>
        <charset val="128"/>
      </rPr>
      <t>排出量の算定方法</t>
    </r>
    <rPh sb="0" eb="2">
      <t>カイタイ</t>
    </rPh>
    <rPh sb="2" eb="4">
      <t>ダンカイ</t>
    </rPh>
    <rPh sb="8" eb="10">
      <t>ハイシュツ</t>
    </rPh>
    <rPh sb="10" eb="11">
      <t>リョウ</t>
    </rPh>
    <rPh sb="12" eb="14">
      <t>サンテイ</t>
    </rPh>
    <rPh sb="14" eb="16">
      <t>ホウホウ</t>
    </rPh>
    <phoneticPr fontId="22"/>
  </si>
  <si>
    <t>解体廃棄物量として、2000kg／㎡を仮定して、30kmの道路運送分を評価</t>
    <rPh sb="0" eb="2">
      <t>カイタイ</t>
    </rPh>
    <rPh sb="2" eb="5">
      <t>ハイキブツ</t>
    </rPh>
    <rPh sb="5" eb="6">
      <t>リョウ</t>
    </rPh>
    <rPh sb="19" eb="21">
      <t>カテイ</t>
    </rPh>
    <rPh sb="29" eb="31">
      <t>ドウロ</t>
    </rPh>
    <rPh sb="31" eb="33">
      <t>ウンソウ</t>
    </rPh>
    <rPh sb="33" eb="34">
      <t>ブン</t>
    </rPh>
    <rPh sb="35" eb="37">
      <t>ヒョウカ</t>
    </rPh>
    <phoneticPr fontId="22"/>
  </si>
  <si>
    <t>同左</t>
    <rPh sb="0" eb="2">
      <t>ドウサ</t>
    </rPh>
    <phoneticPr fontId="22"/>
  </si>
  <si>
    <t>運用
段階</t>
    <rPh sb="0" eb="2">
      <t>ウンヨウ</t>
    </rPh>
    <rPh sb="3" eb="5">
      <t>ダンカイ</t>
    </rPh>
    <phoneticPr fontId="22"/>
  </si>
  <si>
    <t>参考</t>
    <rPh sb="0" eb="2">
      <t>サンコウ</t>
    </rPh>
    <phoneticPr fontId="22"/>
  </si>
  <si>
    <t>非住宅部</t>
    <rPh sb="0" eb="1">
      <t>ヒ</t>
    </rPh>
    <rPh sb="1" eb="3">
      <t>ジュウタク</t>
    </rPh>
    <rPh sb="3" eb="4">
      <t>ブ</t>
    </rPh>
    <phoneticPr fontId="22"/>
  </si>
  <si>
    <t>品確法</t>
    <rPh sb="0" eb="3">
      <t>ヒンカクホウ</t>
    </rPh>
    <phoneticPr fontId="22"/>
  </si>
  <si>
    <t>GJ/年</t>
    <rPh sb="3" eb="4">
      <t>ネン</t>
    </rPh>
    <phoneticPr fontId="22"/>
  </si>
  <si>
    <t>LR1/3.設備システムの高効率化</t>
    <rPh sb="6" eb="8">
      <t>セツビ</t>
    </rPh>
    <rPh sb="13" eb="17">
      <t>コウコウリツカ</t>
    </rPh>
    <phoneticPr fontId="22"/>
  </si>
  <si>
    <t>統計値　MJ/年㎡</t>
    <rPh sb="0" eb="2">
      <t>トウケイ</t>
    </rPh>
    <rPh sb="2" eb="3">
      <t>チ</t>
    </rPh>
    <rPh sb="7" eb="8">
      <t>ネン</t>
    </rPh>
    <phoneticPr fontId="22"/>
  </si>
  <si>
    <t>低減率</t>
    <rPh sb="0" eb="2">
      <t>テイゲン</t>
    </rPh>
    <rPh sb="2" eb="3">
      <t>リツ</t>
    </rPh>
    <phoneticPr fontId="22"/>
  </si>
  <si>
    <t>LR1/4.　効率的な運用</t>
    <rPh sb="7" eb="10">
      <t>コウリツテキ</t>
    </rPh>
    <rPh sb="11" eb="13">
      <t>ウンヨウ</t>
    </rPh>
    <phoneticPr fontId="22"/>
  </si>
  <si>
    <t>用途別面積</t>
    <rPh sb="0" eb="2">
      <t>ヨウト</t>
    </rPh>
    <rPh sb="2" eb="3">
      <t>ベツ</t>
    </rPh>
    <rPh sb="3" eb="5">
      <t>メンセキ</t>
    </rPh>
    <phoneticPr fontId="24"/>
  </si>
  <si>
    <t>適切な換気機能を有し、熱橋となる部分の断熱補強、防湿層、通気層の設置等の結露防止対策がとられている。</t>
    <phoneticPr fontId="22"/>
  </si>
  <si>
    <t>除湿機能を有し、熱橋となる部分の断熱補強、防湿層、通気層の設置等の結露防止対策がとられている。</t>
    <phoneticPr fontId="22"/>
  </si>
  <si>
    <t>加湿機能・除湿機能を有し、かつ45％～55％の範囲の湿度を実現することが可能な設備容量が確保されている。</t>
    <phoneticPr fontId="22"/>
  </si>
  <si>
    <t>3）空間提供による地域貢献</t>
    <phoneticPr fontId="22"/>
  </si>
  <si>
    <t>アルコーブ・ピロティ・庇などの空間を設けるなどの建築的な工夫を取入れて、雨宿り、待合わせに供する等、都市空間の活動上のアメニティ向上に貢献している。
または、</t>
    <phoneticPr fontId="22"/>
  </si>
  <si>
    <t>広場や歩道状空地、路地などのスペースを確保し、憩いの場に供するなど地域の活動上のアメニティ向上に貢献している。</t>
    <phoneticPr fontId="22"/>
  </si>
  <si>
    <t xml:space="preserve">4）施設機能提供による地域貢献
建物の一部に集会所、地域に開放された展示室やホール、コミュニティセンター、学校のコミュニティ利用などの公共的施設・機能を設けることで、地域の活動やにぎわいに貢献している。 </t>
    <phoneticPr fontId="22"/>
  </si>
  <si>
    <t>例えば、環境教育を地域住民・NPO・企業と連携して行えるような地域に開放できる室があり、地域の生態系、環境の保全、エコスクール等について学習できる場として貢献している</t>
    <phoneticPr fontId="22"/>
  </si>
  <si>
    <t>5）建物内外を連関させる豊かな中間領域の形成</t>
    <phoneticPr fontId="22"/>
  </si>
  <si>
    <t>地球温暖化への配慮</t>
    <rPh sb="0" eb="2">
      <t>ﾁｷｭｳ</t>
    </rPh>
    <rPh sb="2" eb="5">
      <t>ｵﾝﾀﾞﾝｶ</t>
    </rPh>
    <rPh sb="7" eb="9">
      <t>ﾊｲﾘｮ</t>
    </rPh>
    <phoneticPr fontId="35" type="noConversion"/>
  </si>
  <si>
    <t>地域環境への配慮</t>
    <rPh sb="0" eb="2">
      <t>ﾁｲｷ</t>
    </rPh>
    <rPh sb="2" eb="4">
      <t>ｶﾝｷｮｳ</t>
    </rPh>
    <rPh sb="6" eb="8">
      <t>ﾊｲﾘｮ</t>
    </rPh>
    <phoneticPr fontId="35" type="noConversion"/>
  </si>
  <si>
    <t>大気汚染防止</t>
    <rPh sb="0" eb="2">
      <t>ﾀｲｷ</t>
    </rPh>
    <rPh sb="2" eb="4">
      <t>ｵｾﾝ</t>
    </rPh>
    <rPh sb="4" eb="6">
      <t>ﾎﾞｳｼ</t>
    </rPh>
    <phoneticPr fontId="35" type="noConversion"/>
  </si>
  <si>
    <t>地域インフラへの負荷抑制</t>
    <rPh sb="0" eb="2">
      <t>チイキ</t>
    </rPh>
    <rPh sb="8" eb="10">
      <t>フカ</t>
    </rPh>
    <rPh sb="10" eb="12">
      <t>ヨクセイ</t>
    </rPh>
    <phoneticPr fontId="22"/>
  </si>
  <si>
    <t>交通負荷抑制</t>
    <rPh sb="0" eb="2">
      <t>ｺｳﾂｳ</t>
    </rPh>
    <rPh sb="2" eb="4">
      <t>ﾌｶ</t>
    </rPh>
    <rPh sb="4" eb="6">
      <t>ﾖｸｾｲ</t>
    </rPh>
    <phoneticPr fontId="35" type="noConversion"/>
  </si>
  <si>
    <t>駐車場等</t>
    <rPh sb="0" eb="3">
      <t>チュウシャジョウ</t>
    </rPh>
    <rPh sb="3" eb="4">
      <t>トウ</t>
    </rPh>
    <phoneticPr fontId="22"/>
  </si>
  <si>
    <t>○○ビル</t>
    <phoneticPr fontId="22"/>
  </si>
  <si>
    <t>XXX</t>
    <phoneticPr fontId="22"/>
  </si>
  <si>
    <t>㎡</t>
    <phoneticPr fontId="22"/>
  </si>
  <si>
    <t>XXX</t>
    <phoneticPr fontId="22"/>
  </si>
  <si>
    <t>㎡</t>
    <phoneticPr fontId="22"/>
  </si>
  <si>
    <t>○○</t>
    <phoneticPr fontId="22"/>
  </si>
  <si>
    <t>XX</t>
    <phoneticPr fontId="22"/>
  </si>
  <si>
    <t>XXX</t>
    <phoneticPr fontId="22"/>
  </si>
  <si>
    <r>
      <t>c</t>
    </r>
    <r>
      <rPr>
        <sz val="11"/>
        <rFont val="ＭＳ Ｐゴシック"/>
        <family val="3"/>
        <charset val="128"/>
      </rPr>
      <t>ommon</t>
    </r>
    <phoneticPr fontId="22"/>
  </si>
  <si>
    <t>Residential</t>
    <phoneticPr fontId="22"/>
  </si>
  <si>
    <t xml:space="preserve"> 事務所</t>
    <phoneticPr fontId="22"/>
  </si>
  <si>
    <t>㎡</t>
    <phoneticPr fontId="22"/>
  </si>
  <si>
    <t>ホテル</t>
    <phoneticPr fontId="22"/>
  </si>
  <si>
    <t xml:space="preserve"> 集合住宅（戸建は対象外）</t>
    <phoneticPr fontId="22"/>
  </si>
  <si>
    <t>屋上等の雨水排水溝に、泥や砂等が堆積していないこと。また、雨水配水管の末端は、砂や泥等により管径が縮小していないこと。（毎学年１回）</t>
    <rPh sb="0" eb="2">
      <t>オクジョウ</t>
    </rPh>
    <rPh sb="2" eb="3">
      <t>トウ</t>
    </rPh>
    <rPh sb="4" eb="6">
      <t>ウスイ</t>
    </rPh>
    <rPh sb="6" eb="9">
      <t>ハイスイコウ</t>
    </rPh>
    <rPh sb="11" eb="12">
      <t>ドロ</t>
    </rPh>
    <rPh sb="13" eb="14">
      <t>スナ</t>
    </rPh>
    <rPh sb="14" eb="15">
      <t>トウ</t>
    </rPh>
    <rPh sb="16" eb="18">
      <t>タイセキ</t>
    </rPh>
    <rPh sb="29" eb="31">
      <t>ウスイ</t>
    </rPh>
    <rPh sb="31" eb="34">
      <t>ハイスイカン</t>
    </rPh>
    <rPh sb="35" eb="37">
      <t>マッタン</t>
    </rPh>
    <rPh sb="39" eb="40">
      <t>スナ</t>
    </rPh>
    <rPh sb="41" eb="42">
      <t>ドロ</t>
    </rPh>
    <rPh sb="42" eb="43">
      <t>トウ</t>
    </rPh>
    <rPh sb="46" eb="47">
      <t>カン</t>
    </rPh>
    <rPh sb="47" eb="48">
      <t>ケイ</t>
    </rPh>
    <rPh sb="49" eb="51">
      <t>シュクショウ</t>
    </rPh>
    <rPh sb="60" eb="63">
      <t>マイガクネン</t>
    </rPh>
    <rPh sb="64" eb="65">
      <t>カイ</t>
    </rPh>
    <phoneticPr fontId="22"/>
  </si>
  <si>
    <t>排水の施設・設備</t>
    <rPh sb="0" eb="2">
      <t>ハイスイ</t>
    </rPh>
    <rPh sb="3" eb="5">
      <t>シセツ</t>
    </rPh>
    <rPh sb="6" eb="8">
      <t>セツビ</t>
    </rPh>
    <phoneticPr fontId="22"/>
  </si>
  <si>
    <t>汚水槽、雑排水槽等の施設・設備は、故障等がなく適切に機能していること。
（毎学年１回）</t>
    <rPh sb="0" eb="3">
      <t>オスイソウ</t>
    </rPh>
    <rPh sb="4" eb="5">
      <t>ザツ</t>
    </rPh>
    <rPh sb="5" eb="7">
      <t>ハイスイ</t>
    </rPh>
    <rPh sb="7" eb="8">
      <t>ソウ</t>
    </rPh>
    <rPh sb="8" eb="9">
      <t>トウ</t>
    </rPh>
    <rPh sb="10" eb="12">
      <t>シセツ</t>
    </rPh>
    <rPh sb="13" eb="15">
      <t>セツビ</t>
    </rPh>
    <rPh sb="17" eb="19">
      <t>コショウ</t>
    </rPh>
    <rPh sb="19" eb="20">
      <t>トウ</t>
    </rPh>
    <rPh sb="23" eb="25">
      <t>テキセツ</t>
    </rPh>
    <rPh sb="26" eb="28">
      <t>キノウ</t>
    </rPh>
    <rPh sb="37" eb="40">
      <t>マイガクネン</t>
    </rPh>
    <rPh sb="41" eb="42">
      <t>カイ</t>
    </rPh>
    <phoneticPr fontId="22"/>
  </si>
  <si>
    <t>木　材</t>
  </si>
  <si>
    <t>＜参考＞　個別計算にあたって、利用できる計算値</t>
    <rPh sb="1" eb="3">
      <t>サンコウ</t>
    </rPh>
    <rPh sb="5" eb="7">
      <t>コベツ</t>
    </rPh>
    <rPh sb="7" eb="9">
      <t>ケイサン</t>
    </rPh>
    <rPh sb="15" eb="17">
      <t>リヨウ</t>
    </rPh>
    <rPh sb="20" eb="23">
      <t>ケイサンチ</t>
    </rPh>
    <phoneticPr fontId="22"/>
  </si>
  <si>
    <t>やや高度な対策を行っている（評価する取組みにおいて3項目以上を採用）</t>
    <phoneticPr fontId="22"/>
  </si>
  <si>
    <t>.建物全体・共用部分</t>
    <phoneticPr fontId="22"/>
  </si>
  <si>
    <t>住居・宿泊部分</t>
    <phoneticPr fontId="22"/>
  </si>
  <si>
    <t>設備騒音の種類</t>
    <phoneticPr fontId="22"/>
  </si>
  <si>
    <t>対策例</t>
    <phoneticPr fontId="22"/>
  </si>
  <si>
    <t>防音カバー、機械室の吸音・遮音、位置など</t>
    <phoneticPr fontId="22"/>
  </si>
  <si>
    <t>設備騒音の種類</t>
    <phoneticPr fontId="22"/>
  </si>
  <si>
    <t>対策例</t>
    <phoneticPr fontId="22"/>
  </si>
  <si>
    <t>（屋外）冷却塔、室外機等からの騒音</t>
    <phoneticPr fontId="22"/>
  </si>
  <si>
    <t>通信機関係等</t>
    <phoneticPr fontId="22"/>
  </si>
  <si>
    <t>通信機械室、無線機室、電話交換室、磁気ﾃﾞｨｽｸ室､電算機室、ﾃﾚｯｸｽ室、電話局切換室、通信機調整室、ﾃﾞｰﾀﾌﾟﾘﾝﾄ室</t>
    <phoneticPr fontId="22"/>
  </si>
  <si>
    <t>放送室等</t>
    <phoneticPr fontId="22"/>
  </si>
  <si>
    <t>制御室等</t>
    <phoneticPr fontId="22"/>
  </si>
  <si>
    <t>フィルム等保管庫</t>
    <phoneticPr fontId="22"/>
  </si>
  <si>
    <t>危険物施設の計器室等</t>
    <phoneticPr fontId="22"/>
  </si>
  <si>
    <t>⑦　床材に応じた清掃器具を想定し、それに合わせた数量、設置間隔で清掃作業用電源レイアウトの設計をしている。</t>
    <rPh sb="37" eb="39">
      <t>デンゲン</t>
    </rPh>
    <phoneticPr fontId="22"/>
  </si>
  <si>
    <t>⑥　屋外や共用通路などに清掃作業を想定した電源を計画している。</t>
    <rPh sb="2" eb="4">
      <t>オクガイ</t>
    </rPh>
    <rPh sb="5" eb="7">
      <t>キョウヨウ</t>
    </rPh>
    <rPh sb="7" eb="9">
      <t>ツウロ</t>
    </rPh>
    <rPh sb="12" eb="14">
      <t>セイソウ</t>
    </rPh>
    <rPh sb="14" eb="16">
      <t>サギョウ</t>
    </rPh>
    <rPh sb="17" eb="19">
      <t>ソウテイ</t>
    </rPh>
    <rPh sb="21" eb="23">
      <t>デンゲン</t>
    </rPh>
    <rPh sb="24" eb="26">
      <t>ケイカク</t>
    </rPh>
    <phoneticPr fontId="22"/>
  </si>
  <si>
    <t>⑧　洗面台や給湯室流し、台所流しの各排水トラップは取り外し、清掃できるようになっている。　</t>
    <rPh sb="2" eb="5">
      <t>センメンダイ</t>
    </rPh>
    <rPh sb="6" eb="9">
      <t>キュウトウシツ</t>
    </rPh>
    <rPh sb="9" eb="10">
      <t>ナガ</t>
    </rPh>
    <rPh sb="12" eb="14">
      <t>ダイドコロ</t>
    </rPh>
    <rPh sb="14" eb="15">
      <t>ナガ</t>
    </rPh>
    <rPh sb="17" eb="18">
      <t>カク</t>
    </rPh>
    <rPh sb="18" eb="20">
      <t>ハイスイ</t>
    </rPh>
    <rPh sb="25" eb="26">
      <t>ト</t>
    </rPh>
    <rPh sb="27" eb="28">
      <t>ハズ</t>
    </rPh>
    <rPh sb="30" eb="32">
      <t>セイソウ</t>
    </rPh>
    <phoneticPr fontId="22"/>
  </si>
  <si>
    <t>学校版</t>
    <rPh sb="0" eb="2">
      <t>ガッコウ</t>
    </rPh>
    <rPh sb="2" eb="3">
      <t>バン</t>
    </rPh>
    <phoneticPr fontId="22"/>
  </si>
  <si>
    <t>大掃除の実施</t>
    <rPh sb="0" eb="3">
      <t>オオソウジ</t>
    </rPh>
    <rPh sb="4" eb="6">
      <t>ジッシ</t>
    </rPh>
    <phoneticPr fontId="22"/>
  </si>
  <si>
    <t>大掃除は、定期に行われていること。（毎学年３回）</t>
    <rPh sb="0" eb="3">
      <t>オオソウジ</t>
    </rPh>
    <rPh sb="5" eb="7">
      <t>テイキ</t>
    </rPh>
    <rPh sb="8" eb="9">
      <t>オコナ</t>
    </rPh>
    <rPh sb="18" eb="21">
      <t>マイガクネン</t>
    </rPh>
    <rPh sb="22" eb="23">
      <t>カイ</t>
    </rPh>
    <phoneticPr fontId="22"/>
  </si>
  <si>
    <t>主要構造部が木造躯体の時は評価対象外とする。</t>
    <rPh sb="0" eb="2">
      <t>シュヨウ</t>
    </rPh>
    <rPh sb="2" eb="4">
      <t>コウゾウ</t>
    </rPh>
    <rPh sb="4" eb="5">
      <t>ブ</t>
    </rPh>
    <rPh sb="6" eb="8">
      <t>モクゾウ</t>
    </rPh>
    <rPh sb="8" eb="10">
      <t>クタイ</t>
    </rPh>
    <rPh sb="11" eb="12">
      <t>トキ</t>
    </rPh>
    <rPh sb="13" eb="15">
      <t>ヒョウカ</t>
    </rPh>
    <rPh sb="15" eb="18">
      <t>タイショウガイ</t>
    </rPh>
    <phoneticPr fontId="22"/>
  </si>
  <si>
    <t>主要構造部が非木造躯体（RC造/SRC造/S造）である場合で、評価する取組み表の評価ポイントの合計値が0ポイント</t>
    <rPh sb="0" eb="2">
      <t>シュヨウ</t>
    </rPh>
    <rPh sb="2" eb="4">
      <t>コウゾウ</t>
    </rPh>
    <rPh sb="4" eb="5">
      <t>ブ</t>
    </rPh>
    <rPh sb="6" eb="7">
      <t>ヒ</t>
    </rPh>
    <rPh sb="7" eb="9">
      <t>モクゾウ</t>
    </rPh>
    <rPh sb="9" eb="11">
      <t>クタイ</t>
    </rPh>
    <rPh sb="14" eb="15">
      <t>ゾウ</t>
    </rPh>
    <rPh sb="19" eb="20">
      <t>ゾウ</t>
    </rPh>
    <rPh sb="22" eb="23">
      <t>ゾウ</t>
    </rPh>
    <rPh sb="27" eb="29">
      <t>バアイ</t>
    </rPh>
    <rPh sb="31" eb="33">
      <t>ヒョウカ</t>
    </rPh>
    <phoneticPr fontId="22"/>
  </si>
  <si>
    <t>主要構造部が非木造躯体（RC造/SRC造/S造）である場合で、評価する取組み表の評価ポイントの合計値が1ポイント以上</t>
    <rPh sb="56" eb="58">
      <t>イジョウ</t>
    </rPh>
    <phoneticPr fontId="22"/>
  </si>
  <si>
    <t>電気％</t>
    <rPh sb="0" eb="2">
      <t>デンキ</t>
    </rPh>
    <phoneticPr fontId="22"/>
  </si>
  <si>
    <t>住宅　専有部（住戸全体）</t>
    <rPh sb="0" eb="2">
      <t>ジュウタク</t>
    </rPh>
    <rPh sb="3" eb="5">
      <t>センユウ</t>
    </rPh>
    <rPh sb="5" eb="6">
      <t>ブ</t>
    </rPh>
    <rPh sb="7" eb="9">
      <t>ジュウコ</t>
    </rPh>
    <rPh sb="9" eb="11">
      <t>ゼンタイ</t>
    </rPh>
    <phoneticPr fontId="22"/>
  </si>
  <si>
    <t>太陽光発電の発電量</t>
    <phoneticPr fontId="22"/>
  </si>
  <si>
    <t>太陽光発電によるCO2削減量　（発電量が③ｵﾝｻｲﾄの取組分相当の場合で、かつ削減分に電力の排出係数を用いる場合。）</t>
    <rPh sb="0" eb="3">
      <t>タイヨウコウ</t>
    </rPh>
    <rPh sb="3" eb="5">
      <t>ハツデン</t>
    </rPh>
    <rPh sb="11" eb="13">
      <t>サクゲン</t>
    </rPh>
    <rPh sb="13" eb="14">
      <t>リョウ</t>
    </rPh>
    <rPh sb="39" eb="41">
      <t>サクゲン</t>
    </rPh>
    <rPh sb="41" eb="42">
      <t>ブン</t>
    </rPh>
    <phoneticPr fontId="22"/>
  </si>
  <si>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22"/>
  </si>
  <si>
    <t>建設</t>
    <rPh sb="0" eb="2">
      <t>ケンセツ</t>
    </rPh>
    <phoneticPr fontId="22"/>
  </si>
  <si>
    <t>修繕・更新・解体</t>
    <rPh sb="0" eb="2">
      <t>シュウゼン</t>
    </rPh>
    <rPh sb="3" eb="5">
      <t>コウシン</t>
    </rPh>
    <rPh sb="6" eb="8">
      <t>カイタイ</t>
    </rPh>
    <phoneticPr fontId="22"/>
  </si>
  <si>
    <t>運用</t>
    <rPh sb="0" eb="2">
      <t>ウンヨウ</t>
    </rPh>
    <phoneticPr fontId="22"/>
  </si>
  <si>
    <t>Ref</t>
    <phoneticPr fontId="22"/>
  </si>
  <si>
    <r>
      <t>Q</t>
    </r>
    <r>
      <rPr>
        <b/>
        <sz val="11"/>
        <color indexed="26"/>
        <rFont val="ＭＳ Ｐゴシック"/>
        <family val="3"/>
        <charset val="128"/>
      </rPr>
      <t>　環境品質</t>
    </r>
    <rPh sb="2" eb="4">
      <t>カンキョウ</t>
    </rPh>
    <rPh sb="4" eb="6">
      <t>ヒンシツ</t>
    </rPh>
    <phoneticPr fontId="22"/>
  </si>
  <si>
    <r>
      <t>Q</t>
    </r>
    <r>
      <rPr>
        <b/>
        <i/>
        <sz val="14"/>
        <color indexed="9"/>
        <rFont val="ＭＳ Ｐゴシック"/>
        <family val="3"/>
        <charset val="128"/>
      </rPr>
      <t>のスコア</t>
    </r>
    <r>
      <rPr>
        <b/>
        <i/>
        <sz val="14"/>
        <color indexed="9"/>
        <rFont val="Arial"/>
        <family val="2"/>
      </rPr>
      <t>=</t>
    </r>
    <phoneticPr fontId="22"/>
  </si>
  <si>
    <t>Subjest1</t>
    <phoneticPr fontId="22"/>
  </si>
  <si>
    <t>Subjest2</t>
    <phoneticPr fontId="22"/>
  </si>
  <si>
    <t>Subjest3</t>
    <phoneticPr fontId="22"/>
  </si>
  <si>
    <t>Score</t>
    <phoneticPr fontId="22"/>
  </si>
  <si>
    <t>開口部遮音性能</t>
    <phoneticPr fontId="22"/>
  </si>
  <si>
    <t>界壁遮音性能</t>
  </si>
  <si>
    <t>界床遮音性能（軽量衝撃源）</t>
  </si>
  <si>
    <t>界床遮音性能（重量衝撃源）</t>
  </si>
  <si>
    <t>吸音</t>
  </si>
  <si>
    <t>温熱環境</t>
    <rPh sb="0" eb="2">
      <t>ｵﾝﾈﾂ</t>
    </rPh>
    <rPh sb="2" eb="4">
      <t>ｶﾝｷｮｳ</t>
    </rPh>
    <phoneticPr fontId="35" type="noConversion"/>
  </si>
  <si>
    <t>室温制御</t>
    <rPh sb="0" eb="2">
      <t>ｼﾂｵﾝ</t>
    </rPh>
    <rPh sb="2" eb="4">
      <t>ｾｲｷﾞｮ</t>
    </rPh>
    <phoneticPr fontId="35" type="noConversion"/>
  </si>
  <si>
    <t>外皮性能</t>
    <rPh sb="0" eb="2">
      <t>ガイヒ</t>
    </rPh>
    <rPh sb="2" eb="4">
      <t>セイノウ</t>
    </rPh>
    <phoneticPr fontId="22"/>
  </si>
  <si>
    <t>ゾーン別制御性</t>
    <rPh sb="3" eb="4">
      <t>ベツ</t>
    </rPh>
    <rPh sb="4" eb="7">
      <t>セイギョセイ</t>
    </rPh>
    <phoneticPr fontId="22"/>
  </si>
  <si>
    <t>個別制御</t>
    <rPh sb="0" eb="2">
      <t>コベツ</t>
    </rPh>
    <rPh sb="2" eb="4">
      <t>セイギョ</t>
    </rPh>
    <phoneticPr fontId="22"/>
  </si>
  <si>
    <t>※効率評価に関しては、機器/器具付随の制御用センサーのデータを用いた評価も可とする。</t>
  </si>
  <si>
    <t>レベル２に加えて、運用管理体制が組織化され、責任者が指名されている。</t>
  </si>
  <si>
    <t>風害・砂塵、日照阻害の抑制</t>
  </si>
  <si>
    <t>風害・砂塵、日照阻害の抑制</t>
    <phoneticPr fontId="35" type="noConversion"/>
  </si>
  <si>
    <t>窓が開閉不可能な居室において、自然換気有効開口面積が50ｃ㎡／㎡以上。あるいは、窓が開閉可能な居室において、自然換気有効開口面積が居室床面積の1/15以上。あるいは、必要外気量の２倍以上の外気冷房の採用により室内空気質の向上が期待できる。</t>
    <phoneticPr fontId="22"/>
  </si>
  <si>
    <t>居室面積の1/6以上の開閉可能な窓を確保している。</t>
    <phoneticPr fontId="22"/>
  </si>
  <si>
    <t>Q2 サービス性能</t>
    <phoneticPr fontId="22"/>
  </si>
  <si>
    <t>Q</t>
    <phoneticPr fontId="22"/>
  </si>
  <si>
    <t>Q3</t>
    <phoneticPr fontId="22"/>
  </si>
  <si>
    <t>BEE(Round)</t>
    <phoneticPr fontId="22"/>
  </si>
  <si>
    <t>LR1</t>
    <phoneticPr fontId="22"/>
  </si>
  <si>
    <t>LR1 
エネルギー</t>
    <phoneticPr fontId="22"/>
  </si>
  <si>
    <t>㎡</t>
    <phoneticPr fontId="35" type="noConversion"/>
  </si>
  <si>
    <t>Q1</t>
    <phoneticPr fontId="22"/>
  </si>
  <si>
    <t>㎡</t>
    <phoneticPr fontId="35" type="noConversion"/>
  </si>
  <si>
    <r>
      <t>BEE</t>
    </r>
    <r>
      <rPr>
        <sz val="11"/>
        <rFont val="ＭＳ Ｐゴシック"/>
        <family val="3"/>
        <charset val="128"/>
      </rPr>
      <t>グラフ</t>
    </r>
    <phoneticPr fontId="22"/>
  </si>
  <si>
    <t>BEE</t>
    <phoneticPr fontId="22"/>
  </si>
  <si>
    <t>X</t>
    <phoneticPr fontId="22"/>
  </si>
  <si>
    <t>S</t>
    <phoneticPr fontId="22"/>
  </si>
  <si>
    <t>A</t>
    <phoneticPr fontId="22"/>
  </si>
  <si>
    <t>B+</t>
    <phoneticPr fontId="22"/>
  </si>
  <si>
    <t>B</t>
    <phoneticPr fontId="22"/>
  </si>
  <si>
    <t>B-</t>
    <phoneticPr fontId="22"/>
  </si>
  <si>
    <t>Rank(green star)</t>
    <phoneticPr fontId="22"/>
  </si>
  <si>
    <t xml:space="preserve"> ④上記+
　オフサイト手法</t>
    <phoneticPr fontId="22"/>
  </si>
  <si>
    <t>RC造</t>
    <rPh sb="2" eb="3">
      <t>ゾウ</t>
    </rPh>
    <phoneticPr fontId="22"/>
  </si>
  <si>
    <t>S造</t>
    <rPh sb="1" eb="2">
      <t>ゾウ</t>
    </rPh>
    <phoneticPr fontId="22"/>
  </si>
  <si>
    <t>SRC造</t>
    <rPh sb="3" eb="4">
      <t>ゾウ</t>
    </rPh>
    <phoneticPr fontId="22"/>
  </si>
  <si>
    <t>木造</t>
    <rPh sb="0" eb="2">
      <t>モクゾウ</t>
    </rPh>
    <phoneticPr fontId="22"/>
  </si>
  <si>
    <t>人（想定値）</t>
    <rPh sb="0" eb="1">
      <t>ニン</t>
    </rPh>
    <rPh sb="2" eb="4">
      <t>ソウテイ</t>
    </rPh>
    <rPh sb="4" eb="5">
      <t>アタイ</t>
    </rPh>
    <phoneticPr fontId="22"/>
  </si>
  <si>
    <t>時間/年（想定値）</t>
    <rPh sb="0" eb="2">
      <t>ジカン</t>
    </rPh>
    <rPh sb="3" eb="4">
      <t>ネン</t>
    </rPh>
    <phoneticPr fontId="22"/>
  </si>
  <si>
    <t>② 評価の実施</t>
    <rPh sb="2" eb="4">
      <t>ヒョウカ</t>
    </rPh>
    <rPh sb="5" eb="7">
      <t>ジッシ</t>
    </rPh>
    <phoneticPr fontId="22"/>
  </si>
  <si>
    <t>既存</t>
    <rPh sb="0" eb="2">
      <t>キソン</t>
    </rPh>
    <phoneticPr fontId="22"/>
  </si>
  <si>
    <t>新築</t>
    <rPh sb="0" eb="2">
      <t>シンチク</t>
    </rPh>
    <phoneticPr fontId="22"/>
  </si>
  <si>
    <t>既存学校版</t>
    <rPh sb="0" eb="2">
      <t>キソン</t>
    </rPh>
    <rPh sb="2" eb="4">
      <t>ガッコウ</t>
    </rPh>
    <rPh sb="4" eb="5">
      <t>バン</t>
    </rPh>
    <phoneticPr fontId="22"/>
  </si>
  <si>
    <t>実施設計段階</t>
    <rPh sb="0" eb="2">
      <t>ジッシ</t>
    </rPh>
    <rPh sb="2" eb="4">
      <t>セッケイ</t>
    </rPh>
    <rPh sb="4" eb="6">
      <t>ダンカイ</t>
    </rPh>
    <phoneticPr fontId="22"/>
  </si>
  <si>
    <t>基本設計段階</t>
    <rPh sb="0" eb="2">
      <t>キホン</t>
    </rPh>
    <rPh sb="2" eb="4">
      <t>セッケイ</t>
    </rPh>
    <rPh sb="4" eb="6">
      <t>ダンカイ</t>
    </rPh>
    <phoneticPr fontId="22"/>
  </si>
  <si>
    <t>上記の他、換気ボイドなど、効果を促進させる建築的工夫がなされ、その影響範囲が、建物の過半（50%以上）に及ぶもの</t>
    <rPh sb="0" eb="1">
      <t>ジョウ</t>
    </rPh>
    <rPh sb="39" eb="41">
      <t>タテモノ</t>
    </rPh>
    <phoneticPr fontId="22"/>
  </si>
  <si>
    <t>レベル４に加え、利用量が15MJ/㎡・年以上となる場合。</t>
    <rPh sb="8" eb="10">
      <t>リヨウ</t>
    </rPh>
    <rPh sb="10" eb="11">
      <t>リョウ</t>
    </rPh>
    <rPh sb="19" eb="20">
      <t>トシ</t>
    </rPh>
    <rPh sb="20" eb="22">
      <t>イジョウ</t>
    </rPh>
    <rPh sb="25" eb="27">
      <t>バアイ</t>
    </rPh>
    <phoneticPr fontId="22"/>
  </si>
  <si>
    <t>上記の工夫が、建物の大半（80%以上）に及ぶもの</t>
    <rPh sb="0" eb="1">
      <t>ジョウ</t>
    </rPh>
    <rPh sb="7" eb="9">
      <t>タテモノ</t>
    </rPh>
    <phoneticPr fontId="22"/>
  </si>
  <si>
    <t>躯体材料の耐用年数</t>
    <rPh sb="0" eb="2">
      <t>クタイ</t>
    </rPh>
    <rPh sb="2" eb="4">
      <t>ザイリョウ</t>
    </rPh>
    <rPh sb="5" eb="7">
      <t>タイヨウ</t>
    </rPh>
    <rPh sb="7" eb="9">
      <t>ネンスウ</t>
    </rPh>
    <phoneticPr fontId="22"/>
  </si>
  <si>
    <t>外壁仕上げ材の補修必要間隔</t>
    <rPh sb="0" eb="2">
      <t>ガイヘキ</t>
    </rPh>
    <rPh sb="2" eb="4">
      <t>シア</t>
    </rPh>
    <rPh sb="5" eb="6">
      <t>ザイ</t>
    </rPh>
    <rPh sb="7" eb="9">
      <t>ホシュウ</t>
    </rPh>
    <rPh sb="9" eb="11">
      <t>ヒツヨウ</t>
    </rPh>
    <rPh sb="11" eb="13">
      <t>カンカク</t>
    </rPh>
    <phoneticPr fontId="22"/>
  </si>
  <si>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2"/>
  </si>
  <si>
    <t>空調換気ダクトの更新必要間隔</t>
    <rPh sb="0" eb="2">
      <t>クウチョウ</t>
    </rPh>
    <rPh sb="2" eb="4">
      <t>カンキ</t>
    </rPh>
    <rPh sb="8" eb="10">
      <t>コウシン</t>
    </rPh>
    <rPh sb="10" eb="12">
      <t>ヒツヨウ</t>
    </rPh>
    <rPh sb="12" eb="14">
      <t>カンカク</t>
    </rPh>
    <phoneticPr fontId="22"/>
  </si>
  <si>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2"/>
  </si>
  <si>
    <t>主要設備機器の更新必要間隔</t>
    <rPh sb="0" eb="2">
      <t>シュヨウ</t>
    </rPh>
    <rPh sb="2" eb="4">
      <t>セツビ</t>
    </rPh>
    <rPh sb="4" eb="6">
      <t>キキ</t>
    </rPh>
    <rPh sb="7" eb="9">
      <t>コウシン</t>
    </rPh>
    <rPh sb="9" eb="11">
      <t>ヒツヨウ</t>
    </rPh>
    <rPh sb="11" eb="13">
      <t>カンカク</t>
    </rPh>
    <phoneticPr fontId="22"/>
  </si>
  <si>
    <t>適切な更新</t>
    <rPh sb="0" eb="2">
      <t>テキセツ</t>
    </rPh>
    <rPh sb="3" eb="5">
      <t>コウシン</t>
    </rPh>
    <phoneticPr fontId="22"/>
  </si>
  <si>
    <t>(b)グリーン熱証書によるカーボンオフセット</t>
    <phoneticPr fontId="22"/>
  </si>
  <si>
    <t>（ｃ）その他カーボンクレジット</t>
    <phoneticPr fontId="22"/>
  </si>
  <si>
    <t>(d)調整後排出量（調整後排出係数による）と実排出量の差</t>
    <phoneticPr fontId="22"/>
  </si>
  <si>
    <t>○○による</t>
    <phoneticPr fontId="22"/>
  </si>
  <si>
    <t>○○</t>
    <phoneticPr fontId="22"/>
  </si>
  <si>
    <t>○○</t>
    <phoneticPr fontId="22"/>
  </si>
  <si>
    <t>○○</t>
    <phoneticPr fontId="22"/>
  </si>
  <si>
    <t>合計</t>
    <phoneticPr fontId="22"/>
  </si>
  <si>
    <t>kWh/年</t>
    <phoneticPr fontId="22"/>
  </si>
  <si>
    <t>自家消費分</t>
    <phoneticPr fontId="22"/>
  </si>
  <si>
    <t>kWh/年</t>
    <phoneticPr fontId="22"/>
  </si>
  <si>
    <t>段階</t>
    <phoneticPr fontId="22"/>
  </si>
  <si>
    <t>余剰売電分</t>
    <phoneticPr fontId="22"/>
  </si>
  <si>
    <t>通常の空調方式であるが、居住域の上下温度差や気流速度に配慮した給排気計画がされている。上下温度差及び気流速度の目標値をおおよそ5℃以内、0.35m/s程度に設定している。</t>
    <phoneticPr fontId="22"/>
  </si>
  <si>
    <t>通常の空調方式であるが、居住域の上下温度差や気流速度および診療室内の間仕切りなどに配慮した給排気計画がされている。上下温度差及び気流速度の目標値をおおよそ5℃以内、0.35m/s程度に設定している。</t>
    <phoneticPr fontId="22"/>
  </si>
  <si>
    <t>水平方向から見て光源が露出し、グレアを制限していない器具。G3分類の器具。</t>
  </si>
  <si>
    <t>水平方向から見て光源が露出しグレアを制限していない器具。G3分類の器具。</t>
  </si>
  <si>
    <t>水平方向から見て光源が露出せず、グレアを制限している器具。G2分類の器具。</t>
  </si>
  <si>
    <t>反射板形状の工夫、ルーバー・透光性カバーなどにより、十分にグレアを制限している器具。G1、G0、V分類の器具。</t>
  </si>
  <si>
    <r>
      <t>シクロペンタン C</t>
    </r>
    <r>
      <rPr>
        <vertAlign val="subscript"/>
        <sz val="9"/>
        <rFont val="ＭＳ Ｐゴシック"/>
        <family val="3"/>
        <charset val="128"/>
      </rPr>
      <t>5</t>
    </r>
    <r>
      <rPr>
        <sz val="9"/>
        <rFont val="ＭＳ Ｐゴシック"/>
        <family val="3"/>
        <charset val="128"/>
      </rPr>
      <t>H</t>
    </r>
    <r>
      <rPr>
        <vertAlign val="subscript"/>
        <sz val="9"/>
        <rFont val="ＭＳ Ｐゴシック"/>
        <family val="3"/>
        <charset val="128"/>
      </rPr>
      <t>10</t>
    </r>
    <phoneticPr fontId="22"/>
  </si>
  <si>
    <t>CFC-12</t>
    <phoneticPr fontId="22"/>
  </si>
  <si>
    <t>HCFC-142b</t>
    <phoneticPr fontId="22"/>
  </si>
  <si>
    <t>フェノールフォーム</t>
    <phoneticPr fontId="22"/>
  </si>
  <si>
    <t>CFC-113</t>
    <phoneticPr fontId="22"/>
  </si>
  <si>
    <r>
      <t>メチクロ（ジクロロメタン） CH</t>
    </r>
    <r>
      <rPr>
        <vertAlign val="subscript"/>
        <sz val="9"/>
        <rFont val="ＭＳ Ｐゴシック"/>
        <family val="3"/>
        <charset val="128"/>
      </rPr>
      <t>2</t>
    </r>
    <r>
      <rPr>
        <sz val="9"/>
        <rFont val="ＭＳ Ｐゴシック"/>
        <family val="3"/>
        <charset val="128"/>
      </rPr>
      <t>Cl</t>
    </r>
    <r>
      <rPr>
        <vertAlign val="subscript"/>
        <sz val="9"/>
        <rFont val="ＭＳ Ｐゴシック"/>
        <family val="3"/>
        <charset val="128"/>
      </rPr>
      <t>2</t>
    </r>
    <phoneticPr fontId="22"/>
  </si>
  <si>
    <t>ODP（CFC基準）</t>
    <phoneticPr fontId="22"/>
  </si>
  <si>
    <t>レベル１（フロン）</t>
    <phoneticPr fontId="22"/>
  </si>
  <si>
    <t>レベル２（フロン）</t>
    <phoneticPr fontId="22"/>
  </si>
  <si>
    <t>0.02～0.06</t>
    <phoneticPr fontId="22"/>
  </si>
  <si>
    <t>レベル３</t>
    <phoneticPr fontId="22"/>
  </si>
  <si>
    <t>評価する取組みがない。</t>
  </si>
  <si>
    <t>講堂・礼拝堂</t>
    <rPh sb="0" eb="2">
      <t>コウドウ</t>
    </rPh>
    <rPh sb="3" eb="6">
      <t>レイハイドウ</t>
    </rPh>
    <phoneticPr fontId="22"/>
  </si>
  <si>
    <t>研究室・普通教室</t>
    <rPh sb="0" eb="3">
      <t>ケンキュウシツ</t>
    </rPh>
    <rPh sb="4" eb="6">
      <t>フツウ</t>
    </rPh>
    <rPh sb="6" eb="8">
      <t>キョウシツ</t>
    </rPh>
    <phoneticPr fontId="22"/>
  </si>
  <si>
    <t>廊下</t>
    <rPh sb="0" eb="2">
      <t>ロウカ</t>
    </rPh>
    <phoneticPr fontId="22"/>
  </si>
  <si>
    <t>運用管理体制の計画を行っていない。</t>
    <phoneticPr fontId="22"/>
  </si>
  <si>
    <t>運用管理の組織、体制、管理方針が計画されている。</t>
    <phoneticPr fontId="22"/>
  </si>
  <si>
    <t>節水の仕組みなし。</t>
    <phoneticPr fontId="22"/>
  </si>
  <si>
    <t>節水コマなどに加えて、省水型機器（例えば擬音、節水型便器など）などを用いている。</t>
    <phoneticPr fontId="22"/>
  </si>
  <si>
    <r>
      <t xml:space="preserve">1.2.1 </t>
    </r>
    <r>
      <rPr>
        <b/>
        <sz val="10"/>
        <rFont val="ＭＳ Ｐゴシック"/>
        <family val="3"/>
        <charset val="128"/>
      </rPr>
      <t>雨水利用システム導入の有無</t>
    </r>
    <phoneticPr fontId="22"/>
  </si>
  <si>
    <t>雨水利用の仕組みなし。</t>
    <phoneticPr fontId="2"/>
  </si>
  <si>
    <t>雨水利用をしている。</t>
    <phoneticPr fontId="2"/>
  </si>
  <si>
    <t>雨水利用によって雨水利用率の20%以上を満たす。</t>
    <phoneticPr fontId="2"/>
  </si>
  <si>
    <t>事・学・物・飲・会・病・ホ・工・住</t>
    <phoneticPr fontId="22"/>
  </si>
  <si>
    <t>(該当するレベルなし)</t>
    <phoneticPr fontId="22"/>
  </si>
  <si>
    <t>(該当するレベルなし)</t>
    <phoneticPr fontId="22"/>
  </si>
  <si>
    <t>Fc=60以上100未満　かつF=490以上</t>
    <phoneticPr fontId="22"/>
  </si>
  <si>
    <t>Fc=100以上　かつF=590以上</t>
    <phoneticPr fontId="22"/>
  </si>
  <si>
    <t>F=355以上　440未満</t>
    <phoneticPr fontId="22"/>
  </si>
  <si>
    <t>F=440以上</t>
    <phoneticPr fontId="22"/>
  </si>
  <si>
    <t>主要構造躯体におけるその他の対策</t>
    <phoneticPr fontId="22"/>
  </si>
  <si>
    <t>節水</t>
    <rPh sb="0" eb="2">
      <t>セッスイ</t>
    </rPh>
    <phoneticPr fontId="22"/>
  </si>
  <si>
    <t>共用部</t>
    <rPh sb="0" eb="2">
      <t>キョウヨウ</t>
    </rPh>
    <rPh sb="2" eb="3">
      <t>ブ</t>
    </rPh>
    <phoneticPr fontId="22"/>
  </si>
  <si>
    <t>広さ感・景観</t>
    <rPh sb="0" eb="1">
      <t>ヒロ</t>
    </rPh>
    <rPh sb="2" eb="3">
      <t>カン</t>
    </rPh>
    <rPh sb="4" eb="6">
      <t>ケイカン</t>
    </rPh>
    <phoneticPr fontId="22"/>
  </si>
  <si>
    <t>2)風下となる地域への風通しに配慮し敷地外への熱的な影響を低減する</t>
  </si>
  <si>
    <t>①建築物の配置形状計画に当たっては風下となる地域への風の通り道を遮らないよう工夫する</t>
  </si>
  <si>
    <t>②夏期の卓越風向に対する建築物の見付け面積を小さくするよう努める</t>
  </si>
  <si>
    <t>③風を回復させるよう建築物の高さ形状建築物間の隣棟間隔等を工夫する</t>
  </si>
  <si>
    <t>3)地表面被覆材に配慮し敷地外への熱的な影響を低減する</t>
  </si>
  <si>
    <t>①地表面の被覆材に配慮する</t>
  </si>
  <si>
    <t>4)建築外装材料等に配慮し敷地外への熱的な影響を低減する</t>
  </si>
  <si>
    <t>①屋根面の緑化等と高反射材料を選定するように努める</t>
  </si>
  <si>
    <t>②外壁面の材料に配慮する</t>
  </si>
  <si>
    <t>5)建築設備から大気への排熱量を低減する</t>
  </si>
  <si>
    <t>①建築物の外壁窓等を通しての熱損失の防止及び空気調和設備等に係るエネルギーの効率的利用のための措置を講じる</t>
  </si>
  <si>
    <t>②建築設備に伴う排熱は低温排熱にすること等により気温上昇の抑制に努める</t>
  </si>
  <si>
    <t>6)シミュレーション等による温熱環境悪化改善の効果の確認</t>
  </si>
  <si>
    <t>②敷地周辺の地形建物緑地等の現況と計画建物に対して流体数値シミュレーション等を行って影響を予測している場合(2ポイント)</t>
  </si>
  <si>
    <t>水質汚濁防止法あるいは下水道法、または地方公共団体等で定める排出基準のうち厳しい基準を満たしている。</t>
    <rPh sb="37" eb="38">
      <t>キビ</t>
    </rPh>
    <rPh sb="40" eb="42">
      <t>キジュン</t>
    </rPh>
    <phoneticPr fontId="22"/>
  </si>
  <si>
    <t>対象外</t>
  </si>
  <si>
    <r>
      <t xml:space="preserve">2.3.4 </t>
    </r>
    <r>
      <rPr>
        <b/>
        <sz val="10"/>
        <rFont val="ＭＳ Ｐゴシック"/>
        <family val="3"/>
        <charset val="128"/>
      </rPr>
      <t>廃棄物処理負荷抑制</t>
    </r>
    <rPh sb="13" eb="15">
      <t>ヨクセイ</t>
    </rPh>
    <phoneticPr fontId="22"/>
  </si>
  <si>
    <t>既存は住の基準あり</t>
    <rPh sb="0" eb="2">
      <t>キソン</t>
    </rPh>
    <rPh sb="3" eb="4">
      <t>ジュウ</t>
    </rPh>
    <rPh sb="5" eb="7">
      <t>キジュン</t>
    </rPh>
    <phoneticPr fontId="22"/>
  </si>
  <si>
    <t>評価する取組み表の評価ポイントの合計値が2ポイント</t>
  </si>
  <si>
    <t>評価する取組み表の評価ポイントの合計値が3ポイント</t>
  </si>
  <si>
    <t>評価する取組み表の評価ポイントの合計値が4ポイント以上</t>
    <rPh sb="25" eb="27">
      <t>イジョウ</t>
    </rPh>
    <phoneticPr fontId="22"/>
  </si>
  <si>
    <t>1)ゴミ処理負荷低減対策の計画のために、敷地内（室内・室外）から日常的に発生するゴミの種類や量を推計している場合。</t>
  </si>
  <si>
    <t>2)室内および室外にゴミの多種分別回収が可能なストックスペースを計画している場合</t>
  </si>
  <si>
    <t>3)室内や室外にゴミの分別回収容器・ボックスの設置を計画している場合</t>
  </si>
  <si>
    <t>4)有価物の計画的な回収を計画している場合（集団回収など）</t>
  </si>
  <si>
    <t>新築なし</t>
    <rPh sb="0" eb="2">
      <t>シンチク</t>
    </rPh>
    <phoneticPr fontId="22"/>
  </si>
  <si>
    <t>5)年間の廃棄物の再利用率が
　50％以上75％未満である場合　1ポイント
　75％以上である場合　　　　　　　2ポイント</t>
    <rPh sb="2" eb="4">
      <t>ネンカン</t>
    </rPh>
    <rPh sb="5" eb="8">
      <t>ハイキブツ</t>
    </rPh>
    <rPh sb="9" eb="13">
      <t>サイリヨウリツ</t>
    </rPh>
    <rPh sb="19" eb="21">
      <t>イジョウ</t>
    </rPh>
    <rPh sb="24" eb="26">
      <t>ミマン</t>
    </rPh>
    <rPh sb="29" eb="31">
      <t>バアイ</t>
    </rPh>
    <rPh sb="42" eb="44">
      <t>イジョウ</t>
    </rPh>
    <rPh sb="47" eb="49">
      <t>バアイ</t>
    </rPh>
    <phoneticPr fontId="22"/>
  </si>
  <si>
    <t>5)生ゴミの減容化・減量化、堆肥化対策を計画している場合（ディスポーザー、生ゴミの自家処理・コンポスト化、バイオマス利用など）</t>
    <rPh sb="58" eb="60">
      <t>リヨウ</t>
    </rPh>
    <phoneticPr fontId="22"/>
  </si>
  <si>
    <t>6)ビン・缶類などの減容化・減量化対策を計画している場合</t>
  </si>
  <si>
    <t>騒音・振動・悪臭の防止</t>
    <rPh sb="0" eb="2">
      <t>ソウオン</t>
    </rPh>
    <rPh sb="3" eb="5">
      <t>シンドウ</t>
    </rPh>
    <rPh sb="6" eb="8">
      <t>アクシュウ</t>
    </rPh>
    <rPh sb="9" eb="11">
      <t>ボウシ</t>
    </rPh>
    <phoneticPr fontId="22"/>
  </si>
  <si>
    <r>
      <t xml:space="preserve">3.1.1 </t>
    </r>
    <r>
      <rPr>
        <b/>
        <sz val="10"/>
        <rFont val="ＭＳ Ｐゴシック"/>
        <family val="3"/>
        <charset val="128"/>
      </rPr>
      <t>騒音</t>
    </r>
    <rPh sb="6" eb="8">
      <t>ソウオン</t>
    </rPh>
    <phoneticPr fontId="22"/>
  </si>
  <si>
    <t>規制対象建物以外の場合</t>
    <rPh sb="0" eb="2">
      <t>キセイ</t>
    </rPh>
    <rPh sb="2" eb="4">
      <t>タイショウ</t>
    </rPh>
    <rPh sb="4" eb="6">
      <t>タテモノ</t>
    </rPh>
    <rPh sb="6" eb="8">
      <t>イガイ</t>
    </rPh>
    <rPh sb="9" eb="11">
      <t>バアイ</t>
    </rPh>
    <phoneticPr fontId="22"/>
  </si>
  <si>
    <t>騒音に関する規制基準値</t>
    <rPh sb="0" eb="2">
      <t>ソウオン</t>
    </rPh>
    <rPh sb="3" eb="4">
      <t>カン</t>
    </rPh>
    <rPh sb="6" eb="8">
      <t>キセイ</t>
    </rPh>
    <rPh sb="8" eb="11">
      <t>キジュンチ</t>
    </rPh>
    <phoneticPr fontId="22"/>
  </si>
  <si>
    <t>第1種区域</t>
    <rPh sb="0" eb="1">
      <t>ダイ</t>
    </rPh>
    <rPh sb="2" eb="3">
      <t>シュ</t>
    </rPh>
    <rPh sb="3" eb="5">
      <t>クイキ</t>
    </rPh>
    <phoneticPr fontId="22"/>
  </si>
  <si>
    <t>第２種区域</t>
    <rPh sb="3" eb="5">
      <t>クイキ</t>
    </rPh>
    <phoneticPr fontId="22"/>
  </si>
  <si>
    <t>　レベル 1</t>
  </si>
  <si>
    <t>レベル３を
満たさない</t>
  </si>
  <si>
    <t>45dB以下</t>
  </si>
  <si>
    <t>40dB以下</t>
  </si>
  <si>
    <t>35dB以下</t>
  </si>
  <si>
    <t>第３種区域</t>
    <rPh sb="0" eb="1">
      <t>ダイ</t>
    </rPh>
    <rPh sb="2" eb="3">
      <t>シュ</t>
    </rPh>
    <rPh sb="3" eb="5">
      <t>クイキ</t>
    </rPh>
    <phoneticPr fontId="22"/>
  </si>
  <si>
    <t>第４種区域</t>
    <rPh sb="0" eb="1">
      <t>ダイ</t>
    </rPh>
    <rPh sb="2" eb="3">
      <t>シュ</t>
    </rPh>
    <rPh sb="3" eb="5">
      <t>クイキ</t>
    </rPh>
    <phoneticPr fontId="22"/>
  </si>
  <si>
    <t>60dB以下</t>
  </si>
  <si>
    <t>55dB以下</t>
  </si>
  <si>
    <t>50dB以下</t>
  </si>
  <si>
    <t>70dB以下</t>
  </si>
  <si>
    <t>強風域の発生などについての事前調査や風害抑制対策を行っていない。</t>
  </si>
  <si>
    <t>事前調査や低減・回避対策等は行っているが、評価を行っていない。又は机上予測に基づいて風力階級による評価を行っているが、一部悪化している、又は立地に対応する風環境のランクを下回る測定点がある。</t>
  </si>
  <si>
    <t>光・視環境</t>
    <rPh sb="0" eb="1">
      <t>ヒカリ</t>
    </rPh>
    <rPh sb="2" eb="3">
      <t>シ</t>
    </rPh>
    <rPh sb="3" eb="5">
      <t>カンキョウ</t>
    </rPh>
    <phoneticPr fontId="22"/>
  </si>
  <si>
    <t>昼光利用</t>
    <rPh sb="0" eb="1">
      <t>ヒル</t>
    </rPh>
    <rPh sb="1" eb="2">
      <t>ヒカリ</t>
    </rPh>
    <rPh sb="2" eb="4">
      <t>リヨウ</t>
    </rPh>
    <phoneticPr fontId="22"/>
  </si>
  <si>
    <r>
      <t xml:space="preserve">3.1.1 </t>
    </r>
    <r>
      <rPr>
        <b/>
        <sz val="10"/>
        <rFont val="ＭＳ Ｐゴシック"/>
        <family val="3"/>
        <charset val="128"/>
      </rPr>
      <t>昼光率</t>
    </r>
    <rPh sb="6" eb="7">
      <t>ヒル</t>
    </rPh>
    <rPh sb="7" eb="8">
      <t>ヒカリ</t>
    </rPh>
    <rPh sb="8" eb="9">
      <t>リツ</t>
    </rPh>
    <phoneticPr fontId="22"/>
  </si>
  <si>
    <t>事・学・病・ホ・工・住</t>
    <rPh sb="10" eb="11">
      <t>ジュウ</t>
    </rPh>
    <phoneticPr fontId="22"/>
  </si>
  <si>
    <t>[昼光率] ＜1.0％</t>
  </si>
  <si>
    <t>[昼光率] ＜0.5％</t>
  </si>
  <si>
    <t>1.0％≦ [昼光率] ＜1.5％</t>
  </si>
  <si>
    <t>0.5%≦ [昼光率] ＜0.75％</t>
  </si>
  <si>
    <t>0.5％≦ [昼光率] ＜1.0％</t>
  </si>
  <si>
    <t>1.5％≦ [昼光率] ＜2.0％</t>
  </si>
  <si>
    <t>2.0％≦ [昼光率] ＜2.5％</t>
  </si>
  <si>
    <t>2.5％≦ [昼光率]</t>
  </si>
  <si>
    <r>
      <t xml:space="preserve">3.1.2 </t>
    </r>
    <r>
      <rPr>
        <b/>
        <sz val="10"/>
        <rFont val="ＭＳ Ｐゴシック"/>
        <family val="3"/>
        <charset val="128"/>
      </rPr>
      <t>方位別開口</t>
    </r>
    <rPh sb="6" eb="8">
      <t>ホウイ</t>
    </rPh>
    <rPh sb="8" eb="9">
      <t>ベツ</t>
    </rPh>
    <rPh sb="9" eb="11">
      <t>カイコウ</t>
    </rPh>
    <phoneticPr fontId="22"/>
  </si>
  <si>
    <t>南面に窓がない。</t>
  </si>
  <si>
    <t>南面に窓がある。</t>
  </si>
  <si>
    <t>南、東の両面に窓がある。</t>
  </si>
  <si>
    <r>
      <t xml:space="preserve">3.1.3 </t>
    </r>
    <r>
      <rPr>
        <b/>
        <sz val="10"/>
        <rFont val="ＭＳ Ｐゴシック"/>
        <family val="3"/>
        <charset val="128"/>
      </rPr>
      <t>昼光利用設備</t>
    </r>
    <rPh sb="6" eb="7">
      <t>ヒル</t>
    </rPh>
    <rPh sb="7" eb="8">
      <t>ヒカリ</t>
    </rPh>
    <rPh sb="8" eb="10">
      <t>リヨウ</t>
    </rPh>
    <rPh sb="10" eb="12">
      <t>セツビ</t>
    </rPh>
    <phoneticPr fontId="22"/>
  </si>
  <si>
    <t>事・学・工</t>
    <rPh sb="4" eb="5">
      <t>コウ</t>
    </rPh>
    <phoneticPr fontId="22"/>
  </si>
  <si>
    <t>病・ホ・住</t>
    <rPh sb="4" eb="5">
      <t>ジュウ</t>
    </rPh>
    <phoneticPr fontId="22"/>
  </si>
  <si>
    <t>昼光利用設備がない。</t>
  </si>
  <si>
    <t>昼光利用設備が１種類ある。</t>
  </si>
  <si>
    <t>グレア対策</t>
    <rPh sb="3" eb="5">
      <t>タイサク</t>
    </rPh>
    <phoneticPr fontId="22"/>
  </si>
  <si>
    <r>
      <t xml:space="preserve">3.2.1 </t>
    </r>
    <r>
      <rPr>
        <b/>
        <sz val="10"/>
        <rFont val="ＭＳ Ｐゴシック"/>
        <family val="3"/>
        <charset val="128"/>
      </rPr>
      <t>照明器具のグレア</t>
    </r>
    <rPh sb="6" eb="8">
      <t>ショウメイ</t>
    </rPh>
    <rPh sb="8" eb="10">
      <t>キグ</t>
    </rPh>
    <phoneticPr fontId="22"/>
  </si>
  <si>
    <t>教室の天井高がおおむね2.7mである。</t>
    <rPh sb="0" eb="2">
      <t>キョウシツ</t>
    </rPh>
    <rPh sb="3" eb="5">
      <t>テンジョウ</t>
    </rPh>
    <rPh sb="5" eb="6">
      <t>ダカ</t>
    </rPh>
    <phoneticPr fontId="22"/>
  </si>
  <si>
    <t>教室の天井高が2.7mを超えている。</t>
    <rPh sb="0" eb="2">
      <t>キョウシツ</t>
    </rPh>
    <rPh sb="3" eb="5">
      <t>テンジョウ</t>
    </rPh>
    <rPh sb="5" eb="6">
      <t>ダカ</t>
    </rPh>
    <rPh sb="12" eb="13">
      <t>コ</t>
    </rPh>
    <phoneticPr fontId="22"/>
  </si>
  <si>
    <r>
      <t xml:space="preserve">2.1.1 </t>
    </r>
    <r>
      <rPr>
        <b/>
        <sz val="10"/>
        <rFont val="ＭＳ Ｐゴシック"/>
        <family val="3"/>
        <charset val="128"/>
      </rPr>
      <t>室温</t>
    </r>
    <rPh sb="6" eb="8">
      <t>シツオン</t>
    </rPh>
    <phoneticPr fontId="22"/>
  </si>
  <si>
    <t>室温</t>
    <rPh sb="0" eb="2">
      <t>シツオン</t>
    </rPh>
    <phoneticPr fontId="22"/>
  </si>
  <si>
    <t>室温</t>
    <phoneticPr fontId="22"/>
  </si>
  <si>
    <t>冬期18℃以上、夏期28℃以下の室温を実現するための最低限の設備容量が確保されている。</t>
    <phoneticPr fontId="22"/>
  </si>
  <si>
    <t>事・学・物・会・ホ</t>
    <rPh sb="0" eb="1">
      <t>コト</t>
    </rPh>
    <rPh sb="2" eb="3">
      <t>ガク</t>
    </rPh>
    <rPh sb="4" eb="5">
      <t>モノ</t>
    </rPh>
    <rPh sb="6" eb="7">
      <t>カイ</t>
    </rPh>
    <phoneticPr fontId="22"/>
  </si>
  <si>
    <t>3つの設備管理業務の取り組みポイントが 0点</t>
    <rPh sb="3" eb="5">
      <t>セツビ</t>
    </rPh>
    <rPh sb="5" eb="7">
      <t>カンリ</t>
    </rPh>
    <rPh sb="7" eb="9">
      <t>ギョウム</t>
    </rPh>
    <rPh sb="10" eb="11">
      <t>ト</t>
    </rPh>
    <rPh sb="12" eb="13">
      <t>ク</t>
    </rPh>
    <rPh sb="21" eb="22">
      <t>テン</t>
    </rPh>
    <phoneticPr fontId="22"/>
  </si>
  <si>
    <t>3つの設備管理業務の取り組みポイントが 1～2点</t>
    <rPh sb="3" eb="5">
      <t>セツビ</t>
    </rPh>
    <rPh sb="5" eb="7">
      <t>カンリ</t>
    </rPh>
    <rPh sb="7" eb="9">
      <t>ギョウム</t>
    </rPh>
    <rPh sb="10" eb="11">
      <t>ト</t>
    </rPh>
    <rPh sb="12" eb="13">
      <t>ク</t>
    </rPh>
    <rPh sb="23" eb="24">
      <t>テン</t>
    </rPh>
    <phoneticPr fontId="22"/>
  </si>
  <si>
    <t>3つの設備管理業務の取り組みポイントが 3点</t>
    <rPh sb="3" eb="5">
      <t>セツビ</t>
    </rPh>
    <rPh sb="5" eb="7">
      <t>カンリ</t>
    </rPh>
    <rPh sb="7" eb="9">
      <t>ギョウム</t>
    </rPh>
    <rPh sb="10" eb="11">
      <t>ト</t>
    </rPh>
    <rPh sb="12" eb="13">
      <t>ク</t>
    </rPh>
    <rPh sb="21" eb="22">
      <t>テン</t>
    </rPh>
    <phoneticPr fontId="22"/>
  </si>
  <si>
    <t>Ⅰ 空調管理の評価</t>
  </si>
  <si>
    <t>建築物環境衛生管理基準の空調設備において不適切項目がある。</t>
    <rPh sb="0" eb="3">
      <t>ケンチクブツ</t>
    </rPh>
    <rPh sb="3" eb="5">
      <t>カンキョウ</t>
    </rPh>
    <rPh sb="5" eb="7">
      <t>エイセイ</t>
    </rPh>
    <rPh sb="7" eb="9">
      <t>カンリ</t>
    </rPh>
    <rPh sb="9" eb="11">
      <t>キジュン</t>
    </rPh>
    <rPh sb="12" eb="14">
      <t>クウチョウ</t>
    </rPh>
    <rPh sb="14" eb="16">
      <t>セツビ</t>
    </rPh>
    <rPh sb="20" eb="23">
      <t>フテキセツ</t>
    </rPh>
    <rPh sb="23" eb="25">
      <t>コウモク</t>
    </rPh>
    <phoneticPr fontId="22"/>
  </si>
  <si>
    <t>建築物環境衛生管理基準を満たし、フィルターの定期的な点検・清掃を行っている。</t>
    <rPh sb="0" eb="3">
      <t>ケンチクブツ</t>
    </rPh>
    <rPh sb="3" eb="5">
      <t>カンキョウ</t>
    </rPh>
    <rPh sb="5" eb="7">
      <t>エイセイ</t>
    </rPh>
    <rPh sb="7" eb="9">
      <t>カンリ</t>
    </rPh>
    <rPh sb="9" eb="11">
      <t>キジュン</t>
    </rPh>
    <rPh sb="12" eb="13">
      <t>ミ</t>
    </rPh>
    <rPh sb="22" eb="25">
      <t>テイキテキ</t>
    </rPh>
    <rPh sb="26" eb="28">
      <t>テンケン</t>
    </rPh>
    <rPh sb="29" eb="31">
      <t>セイソウ</t>
    </rPh>
    <rPh sb="32" eb="33">
      <t>オコナ</t>
    </rPh>
    <phoneticPr fontId="22"/>
  </si>
  <si>
    <t>建築物環境衛生管理基準を満たした以上に、特別な対策を行っている。</t>
    <rPh sb="0" eb="3">
      <t>ケンチクブツ</t>
    </rPh>
    <rPh sb="3" eb="5">
      <t>カンキョウ</t>
    </rPh>
    <rPh sb="5" eb="7">
      <t>エイセイ</t>
    </rPh>
    <rPh sb="7" eb="9">
      <t>カンリ</t>
    </rPh>
    <rPh sb="9" eb="11">
      <t>キジュン</t>
    </rPh>
    <rPh sb="12" eb="13">
      <t>ミ</t>
    </rPh>
    <rPh sb="16" eb="18">
      <t>イジョウ</t>
    </rPh>
    <rPh sb="20" eb="22">
      <t>トクベツ</t>
    </rPh>
    <rPh sb="23" eb="25">
      <t>タイサク</t>
    </rPh>
    <rPh sb="26" eb="27">
      <t>オコナ</t>
    </rPh>
    <phoneticPr fontId="22"/>
  </si>
  <si>
    <t>Ⅱ ねずみ等の点検・防除の評価</t>
    <rPh sb="5" eb="6">
      <t>トウ</t>
    </rPh>
    <rPh sb="7" eb="9">
      <t>テンケン</t>
    </rPh>
    <rPh sb="10" eb="12">
      <t>ボウジョ</t>
    </rPh>
    <rPh sb="13" eb="15">
      <t>ヒョウカ</t>
    </rPh>
    <phoneticPr fontId="22"/>
  </si>
  <si>
    <t>建築物環境衛生管理基準の害虫駆除において不適切項目がある。</t>
    <rPh sb="0" eb="3">
      <t>ケンチクブツ</t>
    </rPh>
    <rPh sb="3" eb="5">
      <t>カンキョウ</t>
    </rPh>
    <rPh sb="5" eb="7">
      <t>エイセイ</t>
    </rPh>
    <rPh sb="7" eb="9">
      <t>カンリ</t>
    </rPh>
    <rPh sb="9" eb="11">
      <t>キジュン</t>
    </rPh>
    <rPh sb="12" eb="14">
      <t>ガイチュウ</t>
    </rPh>
    <rPh sb="14" eb="16">
      <t>クジョ</t>
    </rPh>
    <rPh sb="20" eb="23">
      <t>フテキセツ</t>
    </rPh>
    <rPh sb="23" eb="25">
      <t>コウモク</t>
    </rPh>
    <phoneticPr fontId="22"/>
  </si>
  <si>
    <t>建物全体・共用部</t>
    <rPh sb="0" eb="2">
      <t>タテモノ</t>
    </rPh>
    <rPh sb="2" eb="4">
      <t>ゼンタイ</t>
    </rPh>
    <rPh sb="5" eb="7">
      <t>キョウヨウ</t>
    </rPh>
    <rPh sb="7" eb="8">
      <t>ブ</t>
    </rPh>
    <phoneticPr fontId="22"/>
  </si>
  <si>
    <t>小中高</t>
    <rPh sb="0" eb="3">
      <t>ショウチュウコウ</t>
    </rPh>
    <phoneticPr fontId="22"/>
  </si>
  <si>
    <t>住居・宿泊部</t>
    <rPh sb="0" eb="2">
      <t>ジュウキョ</t>
    </rPh>
    <rPh sb="3" eb="5">
      <t>シュクハク</t>
    </rPh>
    <rPh sb="5" eb="6">
      <t>ブ</t>
    </rPh>
    <phoneticPr fontId="22"/>
  </si>
  <si>
    <t>全体・共有</t>
    <rPh sb="0" eb="2">
      <t>ゼンタイ</t>
    </rPh>
    <rPh sb="3" eb="5">
      <t>キョウユウ</t>
    </rPh>
    <phoneticPr fontId="22"/>
  </si>
  <si>
    <t>住居・宿泊</t>
    <rPh sb="0" eb="2">
      <t>ジュウキョ</t>
    </rPh>
    <rPh sb="3" eb="5">
      <t>シュクハク</t>
    </rPh>
    <phoneticPr fontId="22"/>
  </si>
  <si>
    <t>項目名</t>
    <rPh sb="0" eb="2">
      <t>コウモク</t>
    </rPh>
    <rPh sb="2" eb="3">
      <t>メイ</t>
    </rPh>
    <phoneticPr fontId="22"/>
  </si>
  <si>
    <t>延面積</t>
    <rPh sb="0" eb="1">
      <t>ノ</t>
    </rPh>
    <rPh sb="1" eb="3">
      <t>メンセキ</t>
    </rPh>
    <phoneticPr fontId="22"/>
  </si>
  <si>
    <t>延面積比率</t>
    <rPh sb="0" eb="1">
      <t>ノ</t>
    </rPh>
    <rPh sb="1" eb="3">
      <t>メンセキ</t>
    </rPh>
    <rPh sb="3" eb="5">
      <t>ヒリツ</t>
    </rPh>
    <phoneticPr fontId="22"/>
  </si>
  <si>
    <r>
      <t>Q-1</t>
    </r>
    <r>
      <rPr>
        <sz val="11"/>
        <rFont val="ＭＳ Ｐゴシック"/>
        <family val="3"/>
        <charset val="128"/>
      </rPr>
      <t>　室内環境</t>
    </r>
    <rPh sb="4" eb="6">
      <t>シツナイ</t>
    </rPh>
    <rPh sb="6" eb="8">
      <t>カンキョウ</t>
    </rPh>
    <phoneticPr fontId="22"/>
  </si>
  <si>
    <r>
      <t xml:space="preserve">Q-3 </t>
    </r>
    <r>
      <rPr>
        <sz val="11"/>
        <rFont val="ＭＳ Ｐゴシック"/>
        <family val="3"/>
        <charset val="128"/>
      </rPr>
      <t>室外環境</t>
    </r>
    <r>
      <rPr>
        <sz val="11"/>
        <rFont val="Arial"/>
        <family val="2"/>
      </rPr>
      <t>(</t>
    </r>
    <r>
      <rPr>
        <sz val="11"/>
        <rFont val="ＭＳ Ｐゴシック"/>
        <family val="3"/>
        <charset val="128"/>
      </rPr>
      <t>敷地内</t>
    </r>
    <r>
      <rPr>
        <sz val="11"/>
        <rFont val="Arial"/>
        <family val="2"/>
      </rPr>
      <t>)</t>
    </r>
    <rPh sb="11" eb="12">
      <t>ナイ</t>
    </rPh>
    <phoneticPr fontId="22"/>
  </si>
  <si>
    <t>音環境</t>
  </si>
  <si>
    <t>機能性</t>
    <rPh sb="0" eb="3">
      <t>キノウセイ</t>
    </rPh>
    <phoneticPr fontId="22"/>
  </si>
  <si>
    <t>生物資源</t>
    <rPh sb="0" eb="2">
      <t>セイブツ</t>
    </rPh>
    <rPh sb="2" eb="4">
      <t>シゲン</t>
    </rPh>
    <phoneticPr fontId="22"/>
  </si>
  <si>
    <t>温熱環境</t>
  </si>
  <si>
    <t>耐用性・信頼性</t>
    <rPh sb="1" eb="2">
      <t>ヨウ</t>
    </rPh>
    <rPh sb="4" eb="7">
      <t>シンライセイ</t>
    </rPh>
    <phoneticPr fontId="22"/>
  </si>
  <si>
    <t>光・視環境</t>
  </si>
  <si>
    <t>対応性･更新性</t>
    <rPh sb="0" eb="3">
      <t>タイオウセイ</t>
    </rPh>
    <rPh sb="4" eb="6">
      <t>コウシン</t>
    </rPh>
    <rPh sb="6" eb="7">
      <t>セイ</t>
    </rPh>
    <phoneticPr fontId="22"/>
  </si>
  <si>
    <t>建築物の環境品質</t>
    <rPh sb="0" eb="3">
      <t>ケンチクブツ</t>
    </rPh>
    <rPh sb="4" eb="6">
      <t>カンキョウ</t>
    </rPh>
    <rPh sb="6" eb="8">
      <t>ヒンシツ</t>
    </rPh>
    <phoneticPr fontId="22"/>
  </si>
  <si>
    <t>住居宿泊・共用部面積比率</t>
    <rPh sb="0" eb="2">
      <t>ジュウキョ</t>
    </rPh>
    <rPh sb="2" eb="4">
      <t>シュクハク</t>
    </rPh>
    <rPh sb="5" eb="7">
      <t>キョウヨウ</t>
    </rPh>
    <rPh sb="7" eb="8">
      <t>ブ</t>
    </rPh>
    <rPh sb="8" eb="10">
      <t>メンセキ</t>
    </rPh>
    <rPh sb="10" eb="12">
      <t>ヒリツ</t>
    </rPh>
    <phoneticPr fontId="22"/>
  </si>
  <si>
    <t xml:space="preserve"> Q</t>
  </si>
  <si>
    <t xml:space="preserve"> Q1</t>
  </si>
  <si>
    <t xml:space="preserve"> Q1 1</t>
  </si>
  <si>
    <t>1.1.1</t>
  </si>
  <si>
    <t xml:space="preserve"> Q1 1.1</t>
  </si>
  <si>
    <t>室内騒音レベル</t>
    <rPh sb="0" eb="2">
      <t>シツナイ</t>
    </rPh>
    <rPh sb="2" eb="4">
      <t>ソウオン</t>
    </rPh>
    <phoneticPr fontId="22"/>
  </si>
  <si>
    <t>1.1.2</t>
  </si>
  <si>
    <t>設備騒音対策</t>
  </si>
  <si>
    <t xml:space="preserve"> Q1 1.2</t>
  </si>
  <si>
    <t xml:space="preserve"> Q1 2</t>
  </si>
  <si>
    <t>年間延床面積あたり削減量</t>
    <rPh sb="0" eb="2">
      <t>ネンカン</t>
    </rPh>
    <rPh sb="2" eb="3">
      <t>ノ</t>
    </rPh>
    <rPh sb="3" eb="6">
      <t>ユカメンセキ</t>
    </rPh>
    <rPh sb="9" eb="11">
      <t>サクゲン</t>
    </rPh>
    <rPh sb="11" eb="12">
      <t>リョウ</t>
    </rPh>
    <phoneticPr fontId="22"/>
  </si>
  <si>
    <t>削減率　％</t>
    <rPh sb="0" eb="2">
      <t>サクゲン</t>
    </rPh>
    <rPh sb="2" eb="3">
      <t>リツ</t>
    </rPh>
    <phoneticPr fontId="22"/>
  </si>
  <si>
    <t>%</t>
    <phoneticPr fontId="22"/>
  </si>
  <si>
    <t>運用エネルギー消費量</t>
    <rPh sb="0" eb="2">
      <t>ｳﾝﾖｳ</t>
    </rPh>
    <rPh sb="7" eb="10">
      <t>ｼｮｳﾋﾘｮｳ</t>
    </rPh>
    <phoneticPr fontId="35" type="noConversion"/>
  </si>
  <si>
    <r>
      <t>ＭＪ</t>
    </r>
    <r>
      <rPr>
        <sz val="10"/>
        <rFont val="Arial"/>
        <family val="2"/>
      </rPr>
      <t>/</t>
    </r>
    <r>
      <rPr>
        <sz val="10"/>
        <rFont val="ＭＳ Ｐゴシック"/>
        <family val="3"/>
        <charset val="128"/>
      </rPr>
      <t>年㎡</t>
    </r>
    <rPh sb="3" eb="4">
      <t>ネン</t>
    </rPh>
    <phoneticPr fontId="22"/>
  </si>
  <si>
    <r>
      <t>ＭＪ</t>
    </r>
    <r>
      <rPr>
        <sz val="10"/>
        <rFont val="Arial"/>
        <family val="2"/>
      </rPr>
      <t>/</t>
    </r>
    <r>
      <rPr>
        <sz val="10"/>
        <rFont val="ＭＳ Ｐゴシック"/>
        <family val="3"/>
        <charset val="128"/>
      </rPr>
      <t>人時</t>
    </r>
    <rPh sb="3" eb="4">
      <t>ニン</t>
    </rPh>
    <rPh sb="4" eb="5">
      <t>ジ</t>
    </rPh>
    <phoneticPr fontId="22"/>
  </si>
  <si>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5"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</si>
  <si>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2"/>
  </si>
  <si>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2"/>
  </si>
  <si>
    <t>水消費量</t>
    <rPh sb="0" eb="1">
      <t>ﾐｽﾞ</t>
    </rPh>
    <rPh sb="1" eb="4">
      <t>ｼｮｳﾋﾘｮｳ</t>
    </rPh>
    <phoneticPr fontId="35"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</si>
  <si>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2"/>
  </si>
  <si>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2"/>
  </si>
  <si>
    <r>
      <t>LCCO</t>
    </r>
    <r>
      <rPr>
        <vertAlign val="subscript"/>
        <sz val="10"/>
        <rFont val="Arial"/>
        <family val="2"/>
      </rPr>
      <t>2</t>
    </r>
    <r>
      <rPr>
        <sz val="10"/>
        <rFont val="ＭＳ Ｐゴシック"/>
        <family val="3"/>
        <charset val="128"/>
      </rPr>
      <t>排出量</t>
    </r>
    <rPh sb="5" eb="7">
      <t>ハイシュツ</t>
    </rPh>
    <rPh sb="7" eb="8">
      <t>リョウ</t>
    </rPh>
    <phoneticPr fontId="22"/>
  </si>
  <si>
    <r>
      <t>LC</t>
    </r>
    <r>
      <rPr>
        <sz val="10"/>
        <rFont val="ＭＳ Ｐゴシック"/>
        <family val="3"/>
        <charset val="128"/>
      </rPr>
      <t>廃棄物量</t>
    </r>
    <rPh sb="2" eb="5">
      <t>ハイキブツ</t>
    </rPh>
    <rPh sb="5" eb="6">
      <t>リョウ</t>
    </rPh>
    <phoneticPr fontId="22"/>
  </si>
  <si>
    <r>
      <t>ｔ</t>
    </r>
    <r>
      <rPr>
        <sz val="10"/>
        <rFont val="Arial"/>
        <family val="2"/>
      </rPr>
      <t>/</t>
    </r>
    <r>
      <rPr>
        <sz val="10"/>
        <rFont val="ＭＳ Ｐゴシック"/>
        <family val="3"/>
        <charset val="128"/>
      </rPr>
      <t>年㎡</t>
    </r>
    <rPh sb="2" eb="3">
      <t>ネン</t>
    </rPh>
    <phoneticPr fontId="22"/>
  </si>
  <si>
    <r>
      <t>ｔ</t>
    </r>
    <r>
      <rPr>
        <sz val="10"/>
        <rFont val="Arial"/>
        <family val="2"/>
      </rPr>
      <t>/</t>
    </r>
    <r>
      <rPr>
        <sz val="10"/>
        <rFont val="ＭＳ Ｐゴシック"/>
        <family val="3"/>
        <charset val="128"/>
      </rPr>
      <t>人時</t>
    </r>
    <rPh sb="2" eb="3">
      <t>ニン</t>
    </rPh>
    <rPh sb="3" eb="4">
      <t>ジ</t>
    </rPh>
    <phoneticPr fontId="22"/>
  </si>
  <si>
    <r>
      <t>LC</t>
    </r>
    <r>
      <rPr>
        <sz val="10"/>
        <rFont val="ＭＳ Ｐゴシック"/>
        <family val="3"/>
        <charset val="128"/>
      </rPr>
      <t>資源消費量</t>
    </r>
    <rPh sb="2" eb="4">
      <t>シゲン</t>
    </rPh>
    <rPh sb="4" eb="6">
      <t>ショウヒ</t>
    </rPh>
    <rPh sb="6" eb="7">
      <t>リョウ</t>
    </rPh>
    <phoneticPr fontId="22"/>
  </si>
  <si>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5" type="noConversion"/>
  </si>
  <si>
    <t>設計段階</t>
    <rPh sb="0" eb="2">
      <t>ｾｯｹｲ</t>
    </rPh>
    <rPh sb="2" eb="4">
      <t>ﾀﾞﾝｶｲ</t>
    </rPh>
    <phoneticPr fontId="35" type="noConversion"/>
  </si>
  <si>
    <t>建設段階</t>
    <rPh sb="0" eb="2">
      <t>ｹﾝｾﾂ</t>
    </rPh>
    <rPh sb="2" eb="4">
      <t>ﾀﾞﾝｶｲ</t>
    </rPh>
    <phoneticPr fontId="35" type="noConversion"/>
  </si>
  <si>
    <t>有資格者による設計</t>
    <rPh sb="0" eb="4">
      <t>ﾕｳｼｶｸｼｬ</t>
    </rPh>
    <rPh sb="7" eb="9">
      <t>ｾｯｹｲ</t>
    </rPh>
    <phoneticPr fontId="35" type="noConversion"/>
  </si>
  <si>
    <t>環境管理計画</t>
    <rPh sb="0" eb="2">
      <t>ｶﾝｷｮｳ</t>
    </rPh>
    <rPh sb="2" eb="4">
      <t>ｶﾝﾘ</t>
    </rPh>
    <rPh sb="4" eb="6">
      <t>ｹｲｶｸ</t>
    </rPh>
    <phoneticPr fontId="35" type="noConversion"/>
  </si>
  <si>
    <r>
      <t>凡例　　　　　</t>
    </r>
    <r>
      <rPr>
        <sz val="8"/>
        <color indexed="10"/>
        <rFont val="Arial"/>
        <family val="2"/>
      </rPr>
      <t>Q</t>
    </r>
    <r>
      <rPr>
        <sz val="8"/>
        <color indexed="10"/>
        <rFont val="ＭＳ Ｐゴシック"/>
        <family val="3"/>
        <charset val="128"/>
      </rPr>
      <t>：</t>
    </r>
    <rPh sb="0" eb="2">
      <t>ハンレイ</t>
    </rPh>
    <phoneticPr fontId="22"/>
  </si>
  <si>
    <t>(該当するレベルなし)</t>
    <phoneticPr fontId="22"/>
  </si>
  <si>
    <t>外壁面対策面積率が、
　　・10％未満の場合  (1ポイント)
　　・10％以上20％未満の場合 (2ポイント)
　　・20％以上の場合 (3ポイント)</t>
    <phoneticPr fontId="22"/>
  </si>
  <si>
    <t>V建築設備に伴う排熱の位置等に配慮し、敷地内歩行者空間等の暑熱環境を緩和する</t>
    <phoneticPr fontId="22"/>
  </si>
  <si>
    <t>-</t>
    <phoneticPr fontId="22"/>
  </si>
  <si>
    <t>映り込み対策</t>
    <rPh sb="0" eb="1">
      <t>ウツ</t>
    </rPh>
    <rPh sb="2" eb="3">
      <t>コ</t>
    </rPh>
    <rPh sb="4" eb="6">
      <t>タイサク</t>
    </rPh>
    <phoneticPr fontId="22"/>
  </si>
  <si>
    <t>照度</t>
    <rPh sb="0" eb="2">
      <t>ｼｮｳﾄﾞ</t>
    </rPh>
    <phoneticPr fontId="35" type="noConversion"/>
  </si>
  <si>
    <t>照度</t>
    <rPh sb="0" eb="2">
      <t>ショウド</t>
    </rPh>
    <phoneticPr fontId="22"/>
  </si>
  <si>
    <t>照度均斉度</t>
    <rPh sb="0" eb="2">
      <t>ショウド</t>
    </rPh>
    <rPh sb="2" eb="3">
      <t>タモツ</t>
    </rPh>
    <rPh sb="3" eb="4">
      <t>サイ</t>
    </rPh>
    <rPh sb="4" eb="5">
      <t>タビ</t>
    </rPh>
    <phoneticPr fontId="22"/>
  </si>
  <si>
    <t>照明制御</t>
    <rPh sb="0" eb="2">
      <t>ショウメイ</t>
    </rPh>
    <rPh sb="2" eb="4">
      <t>セイギョ</t>
    </rPh>
    <phoneticPr fontId="22"/>
  </si>
  <si>
    <t>空気質環境</t>
    <rPh sb="0" eb="2">
      <t>クウキ</t>
    </rPh>
    <rPh sb="2" eb="3">
      <t>シツ</t>
    </rPh>
    <rPh sb="3" eb="5">
      <t>カンキョウ</t>
    </rPh>
    <phoneticPr fontId="22"/>
  </si>
  <si>
    <t>発生源対策</t>
    <rPh sb="0" eb="3">
      <t>ﾊｯｾｲｹﾞﾝ</t>
    </rPh>
    <rPh sb="3" eb="5">
      <t>ﾀｲｻｸ</t>
    </rPh>
    <phoneticPr fontId="35" type="noConversion"/>
  </si>
  <si>
    <t>化学汚染物質</t>
    <rPh sb="0" eb="2">
      <t>カガク</t>
    </rPh>
    <rPh sb="4" eb="6">
      <t>ブッシツ</t>
    </rPh>
    <phoneticPr fontId="22"/>
  </si>
  <si>
    <t>アスベスト対策</t>
    <rPh sb="5" eb="7">
      <t>タイサク</t>
    </rPh>
    <phoneticPr fontId="22"/>
  </si>
  <si>
    <t>ダニ・カビ等</t>
    <rPh sb="5" eb="6">
      <t>ナド</t>
    </rPh>
    <phoneticPr fontId="22"/>
  </si>
  <si>
    <t>レジオネラ対策</t>
    <rPh sb="5" eb="7">
      <t>タイサク</t>
    </rPh>
    <phoneticPr fontId="22"/>
  </si>
  <si>
    <t>換気</t>
    <rPh sb="0" eb="2">
      <t>ｶﾝｷ</t>
    </rPh>
    <phoneticPr fontId="35" type="noConversion"/>
  </si>
  <si>
    <t>換気量</t>
    <rPh sb="0" eb="3">
      <t>カンキリョウ</t>
    </rPh>
    <phoneticPr fontId="22"/>
  </si>
  <si>
    <t>廃棄物処理負荷抑制</t>
    <rPh sb="0" eb="3">
      <t>ﾊｲｷﾌﾞﾂ</t>
    </rPh>
    <rPh sb="3" eb="5">
      <t>ｼｮﾘ</t>
    </rPh>
    <rPh sb="5" eb="7">
      <t>ﾌｶ</t>
    </rPh>
    <rPh sb="7" eb="9">
      <t>ﾖｸｾｲ</t>
    </rPh>
    <phoneticPr fontId="35" type="noConversion"/>
  </si>
  <si>
    <t>周辺環境への配慮</t>
    <rPh sb="0" eb="2">
      <t>ｼｭｳﾍﾝ</t>
    </rPh>
    <rPh sb="2" eb="4">
      <t>ｶﾝｷｮｳ</t>
    </rPh>
    <rPh sb="6" eb="8">
      <t>ﾊｲﾘｮ</t>
    </rPh>
    <phoneticPr fontId="35" type="noConversion"/>
  </si>
  <si>
    <t>騒音・振動・悪臭の防止</t>
    <rPh sb="0" eb="2">
      <t>ｿｳｵﾝ</t>
    </rPh>
    <rPh sb="3" eb="5">
      <t>ｼﾝﾄﾞｳ</t>
    </rPh>
    <rPh sb="6" eb="8">
      <t>ｱｸｼｭｳ</t>
    </rPh>
    <rPh sb="9" eb="11">
      <t>ﾎﾞｳｼ</t>
    </rPh>
    <phoneticPr fontId="35" type="noConversion"/>
  </si>
  <si>
    <t>騒音</t>
    <rPh sb="0" eb="2">
      <t>ｿｳｵﾝ</t>
    </rPh>
    <phoneticPr fontId="35" type="noConversion"/>
  </si>
  <si>
    <t>砂塵の抑制</t>
    <rPh sb="0" eb="2">
      <t>ｻｼﾞﾝ</t>
    </rPh>
    <rPh sb="3" eb="5">
      <t>ﾖｸｾｲ</t>
    </rPh>
    <phoneticPr fontId="35" type="noConversion"/>
  </si>
  <si>
    <t>光害の抑制</t>
    <rPh sb="0" eb="2">
      <t>ﾋｶﾘｶﾞｲ</t>
    </rPh>
    <rPh sb="3" eb="5">
      <t>ﾖｸｾｲ</t>
    </rPh>
    <phoneticPr fontId="35"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</si>
  <si>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35" type="noConversion"/>
  </si>
  <si>
    <t>一次エネルギー消費量（規模別）　[MJ/年㎡]　　延床面積の区分</t>
    <rPh sb="0" eb="2">
      <t>イチジ</t>
    </rPh>
    <rPh sb="7" eb="10">
      <t>ショウヒリョウ</t>
    </rPh>
    <rPh sb="11" eb="13">
      <t>キボ</t>
    </rPh>
    <rPh sb="13" eb="14">
      <t>ベツ</t>
    </rPh>
    <rPh sb="20" eb="21">
      <t>ネン</t>
    </rPh>
    <rPh sb="25" eb="27">
      <t>ノベユカ</t>
    </rPh>
    <rPh sb="27" eb="29">
      <t>メンセキ</t>
    </rPh>
    <rPh sb="30" eb="32">
      <t>クブン</t>
    </rPh>
    <phoneticPr fontId="5"/>
  </si>
  <si>
    <t>出典：</t>
    <rPh sb="0" eb="2">
      <t>シュッテン</t>
    </rPh>
    <phoneticPr fontId="22"/>
  </si>
  <si>
    <t>モニタリング</t>
    <phoneticPr fontId="22"/>
  </si>
  <si>
    <t xml:space="preserve">※1) 概ね、エネルギー消費全体の半分以上の用途構成の把握が可能なモニタリングが計画されていること。
</t>
    <phoneticPr fontId="22"/>
  </si>
  <si>
    <t>※2) 概ね4種類以上の効率評価を行えること。また、空調や照明、換気など系統数が多い場合は、代表系統での評価から全体の推定を行なうことも可</t>
    <phoneticPr fontId="22"/>
  </si>
  <si>
    <t>レベル４に加え、主要な設備システムに関しては、システム効率※2) の評価を行うことにより、システムの性能の評価が行えること。</t>
    <phoneticPr fontId="22"/>
  </si>
  <si>
    <t>定性評価</t>
    <rPh sb="0" eb="2">
      <t>テイセイ</t>
    </rPh>
    <rPh sb="2" eb="4">
      <t>ヒョウカ</t>
    </rPh>
    <phoneticPr fontId="22"/>
  </si>
  <si>
    <t>定量評価</t>
    <rPh sb="0" eb="2">
      <t>テイリョウ</t>
    </rPh>
    <rPh sb="2" eb="4">
      <t>ヒョウカ</t>
    </rPh>
    <phoneticPr fontId="22"/>
  </si>
  <si>
    <t>モニタリング</t>
    <phoneticPr fontId="4"/>
  </si>
  <si>
    <t>運用管理体制</t>
    <rPh sb="0" eb="2">
      <t>ウンヨウ</t>
    </rPh>
    <rPh sb="2" eb="4">
      <t>カンリ</t>
    </rPh>
    <rPh sb="4" eb="6">
      <t>タイセイ</t>
    </rPh>
    <phoneticPr fontId="22"/>
  </si>
  <si>
    <t>運用管理体制</t>
    <rPh sb="0" eb="2">
      <t>うんよう</t>
    </rPh>
    <rPh sb="2" eb="4">
      <t>かんり</t>
    </rPh>
    <rPh sb="4" eb="6">
      <t>たいせい</t>
    </rPh>
    <phoneticPr fontId="35" type="noConversion"/>
  </si>
  <si>
    <t>事・学（大学等）・物・飲・会・病・ホ・工</t>
    <rPh sb="4" eb="6">
      <t>ダイガク</t>
    </rPh>
    <rPh sb="6" eb="7">
      <t>トウ</t>
    </rPh>
    <rPh sb="19" eb="20">
      <t>コウ</t>
    </rPh>
    <phoneticPr fontId="22"/>
  </si>
  <si>
    <t>NO.</t>
    <phoneticPr fontId="22"/>
  </si>
  <si>
    <t>評価する取組み　</t>
    <phoneticPr fontId="22"/>
  </si>
  <si>
    <t>通風利用：空調設備に代わり、冷房負荷低減に有効な自然通風・自然換気システムが計画されている事。（例）自動ダンパや手動の開閉口または開閉窓（運用管理方法を計画したもの）、ナイトパージ、アトリウムと連携した換気システム、換気塔ソーラーチムニーなど</t>
    <phoneticPr fontId="22"/>
  </si>
  <si>
    <t>非住宅部分</t>
    <rPh sb="0" eb="1">
      <t>ひ</t>
    </rPh>
    <rPh sb="1" eb="3">
      <t>じゅうたく</t>
    </rPh>
    <rPh sb="3" eb="5">
      <t>ぶぶん</t>
    </rPh>
    <phoneticPr fontId="35" type="noConversion"/>
  </si>
  <si>
    <t>集合住宅以外の評価</t>
    <rPh sb="0" eb="2">
      <t>しゅうごう</t>
    </rPh>
    <rPh sb="2" eb="4">
      <t>じゅうたく</t>
    </rPh>
    <rPh sb="4" eb="6">
      <t>いがい</t>
    </rPh>
    <rPh sb="7" eb="9">
      <t>ひょうか</t>
    </rPh>
    <phoneticPr fontId="35" type="noConversion"/>
  </si>
  <si>
    <t>集合住宅の評価</t>
    <rPh sb="0" eb="2">
      <t>しゅうごう</t>
    </rPh>
    <rPh sb="2" eb="4">
      <t>じゅうたく</t>
    </rPh>
    <rPh sb="5" eb="7">
      <t>ひょうか</t>
    </rPh>
    <phoneticPr fontId="35" type="noConversion"/>
  </si>
  <si>
    <r>
      <t>エネルギーのCO</t>
    </r>
    <r>
      <rPr>
        <vertAlign val="subscript"/>
        <sz val="10"/>
        <rFont val="ＭＳ Ｐゴシック"/>
        <family val="3"/>
        <charset val="128"/>
      </rPr>
      <t>2</t>
    </r>
    <r>
      <rPr>
        <sz val="10"/>
        <rFont val="ＭＳ Ｐゴシック"/>
        <family val="3"/>
        <charset val="128"/>
      </rPr>
      <t>排出係数</t>
    </r>
    <rPh sb="11" eb="13">
      <t>ケイスウ</t>
    </rPh>
    <phoneticPr fontId="22"/>
  </si>
  <si>
    <t>通信機械室等</t>
    <rPh sb="2" eb="4">
      <t>キカイ</t>
    </rPh>
    <phoneticPr fontId="22"/>
  </si>
  <si>
    <t>ＴＶ中継室、リモートセンター、スタジオ、照明制御室、音響機器室、調整室、モニター室、放送機材室</t>
  </si>
  <si>
    <t>電力制御室、操作室､制御室、管制室、防災センター、動力計器室</t>
  </si>
  <si>
    <t>フィルム保管庫、調光室、中継台、ＶＴＲ室、テープ室、映写室、テープ保管庫</t>
  </si>
  <si>
    <t>危険物施設の計器室</t>
  </si>
  <si>
    <t>美術品展示室等</t>
  </si>
  <si>
    <t>重要文化財、美術品保管庫、展覧室、展示室</t>
  </si>
  <si>
    <t>加工・作業室等</t>
  </si>
  <si>
    <t>輪転機が存する印刷室</t>
  </si>
  <si>
    <t>駐車場</t>
    <rPh sb="0" eb="3">
      <t>チュウシャジョウ</t>
    </rPh>
    <phoneticPr fontId="22"/>
  </si>
  <si>
    <t>レベル３の基準に加え、定期的に掃除を行っている、などの運用面の取組を行っている。</t>
    <phoneticPr fontId="22"/>
  </si>
  <si>
    <t>冷却塔の水処理、飛散対策等が最低限施されており、給湯器も最低限の対策が施されている。</t>
    <phoneticPr fontId="22"/>
  </si>
  <si>
    <t>冷却塔がない。または、冷却塔の水処理、飛散対策等が十分に施されており、給湯器は最低限の対策が施されている。</t>
    <phoneticPr fontId="22"/>
  </si>
  <si>
    <t>中央管理方式の空気調和設備が設置されている居室の場合は25㎥/ｈ人以上。中央管理方式でない場合は建築基準法（シックハウス対応含む）および建築物衛生法を満たす換気量となっている。</t>
    <phoneticPr fontId="22"/>
  </si>
  <si>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2"/>
  </si>
  <si>
    <t>高性能熱反ガラスを使用し、且つ水平庇１．０ｍ以上が計画されている。</t>
    <rPh sb="9" eb="11">
      <t>シヨウ</t>
    </rPh>
    <rPh sb="13" eb="14">
      <t>カ</t>
    </rPh>
    <rPh sb="15" eb="17">
      <t>スイヘイ</t>
    </rPh>
    <rPh sb="17" eb="18">
      <t>ヒサシ</t>
    </rPh>
    <rPh sb="25" eb="27">
      <t>ケイカク</t>
    </rPh>
    <phoneticPr fontId="22"/>
  </si>
  <si>
    <t>レベル４に加え、ダブルスキン等の断熱に有効な手法が採用されている。</t>
    <rPh sb="14" eb="15">
      <t>トウ</t>
    </rPh>
    <rPh sb="16" eb="18">
      <t>ダンネツ</t>
    </rPh>
    <rPh sb="19" eb="21">
      <t>ユウコウ</t>
    </rPh>
    <rPh sb="22" eb="24">
      <t>シュホウ</t>
    </rPh>
    <rPh sb="25" eb="27">
      <t>サイヨウ</t>
    </rPh>
    <phoneticPr fontId="22"/>
  </si>
  <si>
    <t>レベル４に加え、外ルーバー等の日射遮蔽に有効な手法が採用されている。</t>
    <rPh sb="8" eb="9">
      <t>ソト</t>
    </rPh>
    <rPh sb="13" eb="14">
      <t>トウ</t>
    </rPh>
    <rPh sb="15" eb="17">
      <t>ニッシャ</t>
    </rPh>
    <rPh sb="17" eb="19">
      <t>シャヘイ</t>
    </rPh>
    <rPh sb="20" eb="22">
      <t>ユウコウ</t>
    </rPh>
    <rPh sb="23" eb="25">
      <t>シュホウ</t>
    </rPh>
    <rPh sb="26" eb="28">
      <t>サイヨウ</t>
    </rPh>
    <phoneticPr fontId="22"/>
  </si>
  <si>
    <t>＜各レベル間を</t>
    <rPh sb="1" eb="2">
      <t>カク</t>
    </rPh>
    <rPh sb="5" eb="6">
      <t>カン</t>
    </rPh>
    <phoneticPr fontId="22"/>
  </si>
  <si>
    <t>　直線補完し</t>
    <rPh sb="1" eb="3">
      <t>チョクセン</t>
    </rPh>
    <rPh sb="3" eb="5">
      <t>ホカン</t>
    </rPh>
    <phoneticPr fontId="22"/>
  </si>
  <si>
    <t>　小数点を評価＞</t>
    <rPh sb="1" eb="4">
      <t>ショウスウテン</t>
    </rPh>
    <rPh sb="5" eb="7">
      <t>ヒョウカ</t>
    </rPh>
    <phoneticPr fontId="22"/>
  </si>
  <si>
    <t>-</t>
    <phoneticPr fontId="22"/>
  </si>
  <si>
    <t>手術室・病室</t>
    <rPh sb="0" eb="3">
      <t>シュジュツシツ</t>
    </rPh>
    <rPh sb="4" eb="6">
      <t>ビョウシツ</t>
    </rPh>
    <phoneticPr fontId="22"/>
  </si>
  <si>
    <t>ライフサイクルCO2排出率が、一般的な建物（参照値）に対して５０％以下</t>
    <rPh sb="19" eb="21">
      <t>タテモノ</t>
    </rPh>
    <phoneticPr fontId="22"/>
  </si>
  <si>
    <t>排出率</t>
    <rPh sb="0" eb="2">
      <t>ハイシュツ</t>
    </rPh>
    <rPh sb="2" eb="3">
      <t>リツ</t>
    </rPh>
    <phoneticPr fontId="22"/>
  </si>
  <si>
    <t>換算スコア＝</t>
    <rPh sb="0" eb="2">
      <t>カンサン</t>
    </rPh>
    <phoneticPr fontId="22"/>
  </si>
  <si>
    <t>大気汚染防止</t>
    <rPh sb="0" eb="2">
      <t>タイキ</t>
    </rPh>
    <rPh sb="2" eb="4">
      <t>オセン</t>
    </rPh>
    <rPh sb="4" eb="6">
      <t>ボウシ</t>
    </rPh>
    <phoneticPr fontId="22"/>
  </si>
  <si>
    <t>温熱環境悪化の改善</t>
    <rPh sb="0" eb="2">
      <t>オンネツ</t>
    </rPh>
    <rPh sb="2" eb="4">
      <t>カンキョウ</t>
    </rPh>
    <rPh sb="4" eb="6">
      <t>アッカ</t>
    </rPh>
    <rPh sb="7" eb="9">
      <t>カイゼン</t>
    </rPh>
    <phoneticPr fontId="22"/>
  </si>
  <si>
    <t>評価内容</t>
  </si>
  <si>
    <t>冬期18℃以上、夏期28℃以下の範囲を設定している。</t>
    <phoneticPr fontId="22"/>
  </si>
  <si>
    <t>各種発泡ガスのODPとGWP</t>
    <rPh sb="0" eb="2">
      <t>カクシュ</t>
    </rPh>
    <rPh sb="2" eb="4">
      <t>ハッポウ</t>
    </rPh>
    <phoneticPr fontId="29"/>
  </si>
  <si>
    <t>物質</t>
  </si>
  <si>
    <t>大気寿命</t>
  </si>
  <si>
    <t>１００年</t>
  </si>
  <si>
    <t>CFC－11</t>
  </si>
  <si>
    <t>CFC－12</t>
  </si>
  <si>
    <t>CFC－113</t>
  </si>
  <si>
    <t>CFC－114</t>
  </si>
  <si>
    <t>CFC－115</t>
  </si>
  <si>
    <t>HCFC－22</t>
  </si>
  <si>
    <t>HCFC－123</t>
  </si>
  <si>
    <t>機械室からの騒音（透過騒音）</t>
  </si>
  <si>
    <t>2,000㎡未満の建築物</t>
    <rPh sb="6" eb="8">
      <t>ミマン</t>
    </rPh>
    <rPh sb="9" eb="12">
      <t>ケンチクブツ</t>
    </rPh>
    <phoneticPr fontId="22"/>
  </si>
  <si>
    <t>同上（固体伝搬音）</t>
  </si>
  <si>
    <t>防振架台、防振支持など</t>
    <rPh sb="7" eb="9">
      <t>シジ</t>
    </rPh>
    <phoneticPr fontId="22"/>
  </si>
  <si>
    <t>ダクト・配管からの騒音（透過騒音）</t>
  </si>
  <si>
    <t>消音ダクト、消音エルボ、消音ボックス、防音管巻き、位置など</t>
  </si>
  <si>
    <t>地域性・アメニティへの配慮に関して標準的な取組みが行われている。(評価ポイント2～3)</t>
  </si>
  <si>
    <t>地域性・アメニティへの配慮に関して比較的多くの取組みが行われている。(評価ポイント4)</t>
  </si>
  <si>
    <t>地域性・アメニティへの配慮に関して充実した取組みが行われている。(評価ポイント5以上）</t>
  </si>
  <si>
    <t>2）地域性のある材料の使用
建物の構造材や内装材又は外構に地域性のある材料を一部使用している。（まちなみ・景観で評価している部分はここで重複して評価しない）</t>
    <rPh sb="53" eb="55">
      <t>ケイカン</t>
    </rPh>
    <rPh sb="56" eb="58">
      <t>ヒョウカ</t>
    </rPh>
    <rPh sb="62" eb="64">
      <t>ブブン</t>
    </rPh>
    <rPh sb="68" eb="70">
      <t>ジュウフク</t>
    </rPh>
    <rPh sb="72" eb="74">
      <t>ヒョウカ</t>
    </rPh>
    <phoneticPr fontId="22"/>
  </si>
  <si>
    <r>
      <t>kg-CO</t>
    </r>
    <r>
      <rPr>
        <vertAlign val="subscript"/>
        <sz val="10"/>
        <rFont val="ＭＳ Ｐゴシック"/>
        <family val="3"/>
        <charset val="128"/>
      </rPr>
      <t>2</t>
    </r>
    <r>
      <rPr>
        <sz val="10"/>
        <rFont val="ＭＳ Ｐゴシック"/>
        <family val="3"/>
        <charset val="128"/>
      </rPr>
      <t>/kWh</t>
    </r>
    <phoneticPr fontId="22"/>
  </si>
  <si>
    <t>余剰売電分</t>
    <phoneticPr fontId="22"/>
  </si>
  <si>
    <t>事・学・飲・工</t>
    <rPh sb="0" eb="1">
      <t>コト</t>
    </rPh>
    <rPh sb="2" eb="3">
      <t>ガク</t>
    </rPh>
    <rPh sb="4" eb="5">
      <t>イン</t>
    </rPh>
    <rPh sb="6" eb="7">
      <t>コウ</t>
    </rPh>
    <phoneticPr fontId="22"/>
  </si>
  <si>
    <t>病（診）</t>
    <rPh sb="0" eb="1">
      <t>ビョウ</t>
    </rPh>
    <rPh sb="2" eb="3">
      <t>ミ</t>
    </rPh>
    <phoneticPr fontId="22"/>
  </si>
  <si>
    <t>[照度] ＜300 lx</t>
    <phoneticPr fontId="22"/>
  </si>
  <si>
    <t>[照度] ＜150lx</t>
    <phoneticPr fontId="22"/>
  </si>
  <si>
    <t>[照度] ＜100 lx</t>
    <phoneticPr fontId="22"/>
  </si>
  <si>
    <t>[照度] ＜150 lx</t>
    <phoneticPr fontId="22"/>
  </si>
  <si>
    <t>300lx≦　[照度] ＜500lx、
または　750lx≦　[照度]</t>
    <phoneticPr fontId="22"/>
  </si>
  <si>
    <t>150 lx≦　[照度]</t>
    <phoneticPr fontId="22"/>
  </si>
  <si>
    <t>100 lx≦　[照度]</t>
    <phoneticPr fontId="22"/>
  </si>
  <si>
    <t>500lx≦　[照度] ＜750</t>
    <phoneticPr fontId="22"/>
  </si>
  <si>
    <t>病</t>
    <phoneticPr fontId="22"/>
  </si>
  <si>
    <t>LR1/1. 建物外皮の熱負荷抑制</t>
    <rPh sb="7" eb="9">
      <t>タテモノ</t>
    </rPh>
    <rPh sb="9" eb="11">
      <t>ガイヒ</t>
    </rPh>
    <rPh sb="12" eb="13">
      <t>ネツ</t>
    </rPh>
    <rPh sb="13" eb="15">
      <t>フカ</t>
    </rPh>
    <rPh sb="15" eb="17">
      <t>ヨクセイ</t>
    </rPh>
    <phoneticPr fontId="22"/>
  </si>
  <si>
    <t>調整後排出係数</t>
    <rPh sb="0" eb="3">
      <t>チョウセイゴ</t>
    </rPh>
    <rPh sb="3" eb="5">
      <t>ハイシュツ</t>
    </rPh>
    <rPh sb="5" eb="7">
      <t>ケイスウ</t>
    </rPh>
    <phoneticPr fontId="22"/>
  </si>
  <si>
    <t>実排出係数との差</t>
    <rPh sb="0" eb="1">
      <t>ジツ</t>
    </rPh>
    <rPh sb="1" eb="3">
      <t>ハイシュツ</t>
    </rPh>
    <rPh sb="3" eb="5">
      <t>ケイスウ</t>
    </rPh>
    <rPh sb="7" eb="8">
      <t>サ</t>
    </rPh>
    <phoneticPr fontId="22"/>
  </si>
  <si>
    <t>２５～３０</t>
    <phoneticPr fontId="22"/>
  </si>
  <si>
    <t>３０～３５</t>
    <phoneticPr fontId="22"/>
  </si>
  <si>
    <t>３５～４０</t>
    <phoneticPr fontId="22"/>
  </si>
  <si>
    <t>４０～４５</t>
    <phoneticPr fontId="22"/>
  </si>
  <si>
    <t>４５～５０</t>
    <phoneticPr fontId="22"/>
  </si>
  <si>
    <t>５０～５５</t>
    <phoneticPr fontId="22"/>
  </si>
  <si>
    <t>うるささ</t>
    <phoneticPr fontId="22"/>
  </si>
  <si>
    <t>やき声が聞こえる</t>
    <phoneticPr fontId="22"/>
  </si>
  <si>
    <t>電話は支障なし</t>
    <phoneticPr fontId="22"/>
  </si>
  <si>
    <t>――――――</t>
    <phoneticPr fontId="22"/>
  </si>
  <si>
    <t>電話は可能―</t>
    <phoneticPr fontId="22"/>
  </si>
  <si>
    <t>電話やや困難</t>
    <phoneticPr fontId="22"/>
  </si>
  <si>
    <t>スタジオ</t>
    <phoneticPr fontId="22"/>
  </si>
  <si>
    <t>アナウンススタジオ</t>
    <phoneticPr fontId="22"/>
  </si>
  <si>
    <t>ラジオスタジオ</t>
    <phoneticPr fontId="22"/>
  </si>
  <si>
    <t>テレビスタジオ</t>
    <phoneticPr fontId="22"/>
  </si>
  <si>
    <t>ホテルロビー</t>
    <phoneticPr fontId="22"/>
  </si>
  <si>
    <t>ロビー</t>
    <phoneticPr fontId="22"/>
  </si>
  <si>
    <t>宝石店・美術品店</t>
    <phoneticPr fontId="22"/>
  </si>
  <si>
    <t>銀行・レストラン</t>
    <phoneticPr fontId="22"/>
  </si>
  <si>
    <t>建物全体・共用部分</t>
    <phoneticPr fontId="22"/>
  </si>
  <si>
    <t>事・学・物・飲・会・病・ホ・工</t>
    <phoneticPr fontId="22"/>
  </si>
  <si>
    <t>事・学・物・飲・会・病・ホ・工（2000㎡未満）</t>
    <phoneticPr fontId="22"/>
  </si>
  <si>
    <t>病・ホ</t>
    <phoneticPr fontId="22"/>
  </si>
  <si>
    <t>病・ホ（2000㎡未満）</t>
    <phoneticPr fontId="22"/>
  </si>
  <si>
    <t>若干の対策を行っている（評価する取組みにおいて1項目以上を採用）</t>
    <phoneticPr fontId="22"/>
  </si>
  <si>
    <t>太陽光発電による削減分</t>
    <rPh sb="0" eb="2">
      <t>タイヨウ</t>
    </rPh>
    <rPh sb="2" eb="3">
      <t>ヒカリ</t>
    </rPh>
    <rPh sb="3" eb="5">
      <t>ハツデン</t>
    </rPh>
    <rPh sb="8" eb="10">
      <t>サクゲン</t>
    </rPh>
    <rPh sb="10" eb="11">
      <t>ブン</t>
    </rPh>
    <phoneticPr fontId="22"/>
  </si>
  <si>
    <t>(内訳）自家消費分</t>
    <rPh sb="1" eb="3">
      <t>ウチワケ</t>
    </rPh>
    <rPh sb="4" eb="6">
      <t>ジカ</t>
    </rPh>
    <rPh sb="6" eb="8">
      <t>ショウヒ</t>
    </rPh>
    <rPh sb="8" eb="9">
      <t>ブン</t>
    </rPh>
    <phoneticPr fontId="22"/>
  </si>
  <si>
    <t>余剰売電分</t>
    <rPh sb="0" eb="2">
      <t>ヨジョウ</t>
    </rPh>
    <rPh sb="2" eb="4">
      <t>バイデン</t>
    </rPh>
    <rPh sb="4" eb="5">
      <t>ブン</t>
    </rPh>
    <phoneticPr fontId="22"/>
  </si>
  <si>
    <t>その他再生可能エネルギー</t>
    <rPh sb="2" eb="3">
      <t>ホカ</t>
    </rPh>
    <rPh sb="3" eb="5">
      <t>サイセイ</t>
    </rPh>
    <rPh sb="5" eb="7">
      <t>カノウ</t>
    </rPh>
    <phoneticPr fontId="22"/>
  </si>
  <si>
    <t>エネルギー
消費量の算定方法</t>
    <rPh sb="6" eb="9">
      <t>ショウヒリョウ</t>
    </rPh>
    <rPh sb="10" eb="12">
      <t>サンテイ</t>
    </rPh>
    <rPh sb="12" eb="14">
      <t>ホウホウ</t>
    </rPh>
    <phoneticPr fontId="22"/>
  </si>
  <si>
    <r>
      <t>*1</t>
    </r>
    <r>
      <rPr>
        <sz val="8"/>
        <rFont val="ＭＳ Ｐゴシック"/>
        <family val="3"/>
        <charset val="128"/>
      </rPr>
      <t xml:space="preserve">）規制基準は現行の値とし、現行基準以前に設置された施設についても現行の基準で評価する（昼間、夜間とも）。
</t>
    </r>
    <r>
      <rPr>
        <sz val="8"/>
        <rFont val="Arial"/>
        <family val="2"/>
      </rPr>
      <t>*2)</t>
    </r>
    <r>
      <rPr>
        <sz val="8"/>
        <rFont val="ＭＳ Ｐゴシック"/>
        <family val="3"/>
        <charset val="128"/>
      </rPr>
      <t>レベル５については、（現行の基準値－</t>
    </r>
    <r>
      <rPr>
        <sz val="8"/>
        <rFont val="Arial"/>
        <family val="2"/>
      </rPr>
      <t>5dB</t>
    </r>
    <r>
      <rPr>
        <sz val="8"/>
        <rFont val="ＭＳ Ｐゴシック"/>
        <family val="3"/>
        <charset val="128"/>
      </rPr>
      <t>）以下に抑えられている場合とする（昼間、夜間とも）。</t>
    </r>
    <phoneticPr fontId="22"/>
  </si>
  <si>
    <t>昼間（am8時～pm7時）、夜間（pm7時～翌朝8時）のいずれの時間も下記の基準を満たしていること</t>
    <phoneticPr fontId="22"/>
  </si>
  <si>
    <r>
      <t xml:space="preserve">3.1.3 </t>
    </r>
    <r>
      <rPr>
        <b/>
        <sz val="10"/>
        <rFont val="ＭＳ Ｐゴシック"/>
        <family val="3"/>
        <charset val="128"/>
      </rPr>
      <t>悪臭</t>
    </r>
    <phoneticPr fontId="22"/>
  </si>
  <si>
    <t>風害・砂塵、日照阻害の抑制</t>
    <phoneticPr fontId="22"/>
  </si>
  <si>
    <r>
      <t xml:space="preserve">3.2.1 </t>
    </r>
    <r>
      <rPr>
        <b/>
        <sz val="10"/>
        <rFont val="ＭＳ Ｐゴシック"/>
        <family val="3"/>
        <charset val="128"/>
      </rPr>
      <t>風害の抑制</t>
    </r>
    <phoneticPr fontId="22"/>
  </si>
  <si>
    <t>校庭からの砂塵に対する取組みが十分ではない。（評価ポイント1）</t>
    <phoneticPr fontId="22"/>
  </si>
  <si>
    <t>校庭からの砂塵に対して、標準的な取組みが行われている。（評価ポイント2）</t>
    <phoneticPr fontId="22"/>
  </si>
  <si>
    <t>評価内容</t>
    <phoneticPr fontId="22"/>
  </si>
  <si>
    <t>I 校庭からの砂塵の飛散を抑制する取組み</t>
    <phoneticPr fontId="22"/>
  </si>
  <si>
    <t>1）校庭の周囲に防砂林や防砂ネットを整備し、砂塵の飛散を抑制している。</t>
    <phoneticPr fontId="22"/>
  </si>
  <si>
    <t>2)校庭の周囲を建物で囲い、砂塵の発生や飛散を抑制している。</t>
    <phoneticPr fontId="22"/>
  </si>
  <si>
    <t>II 校庭を砂塵が発生しない仕上げとする。</t>
    <phoneticPr fontId="22"/>
  </si>
  <si>
    <t>1）校庭にスプリンクラーを設置し、砂塵の発生を抑制している。</t>
    <phoneticPr fontId="22"/>
  </si>
  <si>
    <t>2）校庭を砂塵が発生しにくい舗装としている。</t>
    <phoneticPr fontId="22"/>
  </si>
  <si>
    <t>3.1.1</t>
    <phoneticPr fontId="22"/>
  </si>
  <si>
    <t>3.1.2</t>
    <phoneticPr fontId="22"/>
  </si>
  <si>
    <t>3.1.3</t>
    <phoneticPr fontId="22"/>
  </si>
  <si>
    <t>3.2.1</t>
    <phoneticPr fontId="22"/>
  </si>
  <si>
    <t>3.2.2</t>
    <phoneticPr fontId="22"/>
  </si>
  <si>
    <t>3.2.3</t>
    <phoneticPr fontId="22"/>
  </si>
  <si>
    <t>3.2.3</t>
    <phoneticPr fontId="22"/>
  </si>
  <si>
    <t>　外構緑化指数が、50%以上を示す規模の外構緑化を行っている。 (3ポイント)</t>
    <phoneticPr fontId="22"/>
  </si>
  <si>
    <t>　建物緑化指数が、20％以上を示す規模の建築物の緑化を行っている。 (2ポイント)</t>
    <phoneticPr fontId="22"/>
  </si>
  <si>
    <t>IV 緑の質の確保</t>
    <phoneticPr fontId="22"/>
  </si>
  <si>
    <t>V 生物資源の管理と利用</t>
    <phoneticPr fontId="22"/>
  </si>
  <si>
    <t>はい</t>
    <phoneticPr fontId="22"/>
  </si>
  <si>
    <t>いいえ</t>
    <phoneticPr fontId="22"/>
  </si>
  <si>
    <t>　レベル　1</t>
    <phoneticPr fontId="22"/>
  </si>
  <si>
    <t>■レベル　1</t>
    <phoneticPr fontId="22"/>
  </si>
  <si>
    <t>レベル</t>
    <phoneticPr fontId="22"/>
  </si>
  <si>
    <t>1.2.1</t>
    <phoneticPr fontId="22"/>
  </si>
  <si>
    <t>1.2.2</t>
    <phoneticPr fontId="22"/>
  </si>
  <si>
    <t>-</t>
    <phoneticPr fontId="22"/>
  </si>
  <si>
    <t>-</t>
    <phoneticPr fontId="22"/>
  </si>
  <si>
    <t>-</t>
    <phoneticPr fontId="22"/>
  </si>
  <si>
    <t>-</t>
    <phoneticPr fontId="22"/>
  </si>
  <si>
    <t>-</t>
    <phoneticPr fontId="22"/>
  </si>
  <si>
    <r>
      <t>LR3</t>
    </r>
    <r>
      <rPr>
        <b/>
        <sz val="14"/>
        <rFont val="ＭＳ Ｐゴシック"/>
        <family val="3"/>
        <charset val="128"/>
      </rPr>
      <t>　敷地外環境</t>
    </r>
    <rPh sb="4" eb="6">
      <t>シキチ</t>
    </rPh>
    <rPh sb="6" eb="7">
      <t>ガイ</t>
    </rPh>
    <phoneticPr fontId="22"/>
  </si>
  <si>
    <r>
      <t xml:space="preserve">2.2.2 </t>
    </r>
    <r>
      <rPr>
        <b/>
        <sz val="10"/>
        <rFont val="ＭＳ Ｐゴシック"/>
        <family val="3"/>
        <charset val="128"/>
      </rPr>
      <t>外壁仕上げ材の補修必要間隔</t>
    </r>
    <phoneticPr fontId="22"/>
  </si>
  <si>
    <r>
      <t xml:space="preserve">2.2.3 </t>
    </r>
    <r>
      <rPr>
        <b/>
        <sz val="10"/>
        <rFont val="ＭＳ Ｐゴシック"/>
        <family val="3"/>
        <charset val="128"/>
      </rPr>
      <t>主要内装仕上げ材の更新必要間隔</t>
    </r>
    <phoneticPr fontId="22"/>
  </si>
  <si>
    <t>住</t>
    <phoneticPr fontId="22"/>
  </si>
  <si>
    <t>5年未満</t>
    <phoneticPr fontId="22"/>
  </si>
  <si>
    <t>16年以上～25年未満</t>
    <phoneticPr fontId="22"/>
  </si>
  <si>
    <t>20年以上</t>
    <phoneticPr fontId="22"/>
  </si>
  <si>
    <t>採用項目</t>
    <rPh sb="0" eb="2">
      <t>サイヨウ</t>
    </rPh>
    <rPh sb="2" eb="4">
      <t>コウモク</t>
    </rPh>
    <phoneticPr fontId="22"/>
  </si>
  <si>
    <t>（屋外）吸込み口・排気口からの騒音</t>
    <phoneticPr fontId="22"/>
  </si>
  <si>
    <t>建物全体・共用部分</t>
    <phoneticPr fontId="22"/>
  </si>
  <si>
    <t>病・ホ・住</t>
    <phoneticPr fontId="22"/>
  </si>
  <si>
    <t>騒音が気になる。</t>
    <phoneticPr fontId="22"/>
  </si>
  <si>
    <t>騒音がほとんど気にならない。</t>
    <phoneticPr fontId="22"/>
  </si>
  <si>
    <t>T-1未満</t>
    <phoneticPr fontId="22"/>
  </si>
  <si>
    <t>T-1</t>
    <phoneticPr fontId="22"/>
  </si>
  <si>
    <t>T-2以上</t>
    <phoneticPr fontId="22"/>
  </si>
  <si>
    <r>
      <t xml:space="preserve">1.2.2 </t>
    </r>
    <r>
      <rPr>
        <b/>
        <sz val="10"/>
        <rFont val="ＭＳ Ｐゴシック"/>
        <family val="3"/>
        <charset val="128"/>
      </rPr>
      <t>界壁遮音性能</t>
    </r>
    <phoneticPr fontId="22"/>
  </si>
  <si>
    <t>住</t>
    <phoneticPr fontId="22"/>
  </si>
  <si>
    <t>人の話し声が気になる。</t>
    <phoneticPr fontId="22"/>
  </si>
  <si>
    <t>実排出係数の場合</t>
    <rPh sb="0" eb="1">
      <t>ジツ</t>
    </rPh>
    <rPh sb="1" eb="3">
      <t>ハイシュツ</t>
    </rPh>
    <rPh sb="3" eb="5">
      <t>ケイスウ</t>
    </rPh>
    <rPh sb="6" eb="8">
      <t>バアイ</t>
    </rPh>
    <phoneticPr fontId="22"/>
  </si>
  <si>
    <t>調整後排出係数を用いた場合の実排出量との差</t>
    <rPh sb="0" eb="3">
      <t>チョウセイゴ</t>
    </rPh>
    <rPh sb="3" eb="5">
      <t>ハイシュツ</t>
    </rPh>
    <rPh sb="5" eb="7">
      <t>ケイスウ</t>
    </rPh>
    <rPh sb="8" eb="9">
      <t>モチ</t>
    </rPh>
    <rPh sb="11" eb="13">
      <t>バアイ</t>
    </rPh>
    <rPh sb="14" eb="15">
      <t>ジツ</t>
    </rPh>
    <rPh sb="15" eb="17">
      <t>ハイシュツ</t>
    </rPh>
    <rPh sb="17" eb="18">
      <t>リョウ</t>
    </rPh>
    <rPh sb="20" eb="21">
      <t>サ</t>
    </rPh>
    <phoneticPr fontId="22"/>
  </si>
  <si>
    <t>実排出係数</t>
    <rPh sb="0" eb="1">
      <t>ジツ</t>
    </rPh>
    <rPh sb="1" eb="3">
      <t>ハイシュツ</t>
    </rPh>
    <rPh sb="3" eb="5">
      <t>ケイスウ</t>
    </rPh>
    <phoneticPr fontId="22"/>
  </si>
  <si>
    <t>延床面積あたり　[2]</t>
    <rPh sb="0" eb="2">
      <t>ノベユカ</t>
    </rPh>
    <rPh sb="2" eb="4">
      <t>メンセキ</t>
    </rPh>
    <phoneticPr fontId="22"/>
  </si>
  <si>
    <t>重み係数</t>
    <rPh sb="0" eb="1">
      <t>オモ</t>
    </rPh>
    <rPh sb="2" eb="4">
      <t>ケイスウ</t>
    </rPh>
    <phoneticPr fontId="22"/>
  </si>
  <si>
    <t>重み係数（既定）</t>
    <rPh sb="0" eb="1">
      <t>オモ</t>
    </rPh>
    <rPh sb="2" eb="4">
      <t>ケイスウ</t>
    </rPh>
    <rPh sb="5" eb="7">
      <t>キテイ</t>
    </rPh>
    <phoneticPr fontId="22"/>
  </si>
  <si>
    <t>0.　既存</t>
    <rPh sb="3" eb="5">
      <t>キソン</t>
    </rPh>
    <phoneticPr fontId="22"/>
  </si>
  <si>
    <t>１．基本設計</t>
    <rPh sb="2" eb="4">
      <t>キホン</t>
    </rPh>
    <rPh sb="4" eb="6">
      <t>セッケイ</t>
    </rPh>
    <phoneticPr fontId="22"/>
  </si>
  <si>
    <t>２．実施・竣工段階</t>
    <rPh sb="2" eb="4">
      <t>ジッシ</t>
    </rPh>
    <rPh sb="5" eb="7">
      <t>シュンコウ</t>
    </rPh>
    <rPh sb="7" eb="9">
      <t>ダンカイ</t>
    </rPh>
    <phoneticPr fontId="22"/>
  </si>
  <si>
    <t>補正後</t>
    <rPh sb="0" eb="2">
      <t>ホセイ</t>
    </rPh>
    <rPh sb="2" eb="3">
      <t>ゴ</t>
    </rPh>
    <phoneticPr fontId="22"/>
  </si>
  <si>
    <t>補正前</t>
    <rPh sb="0" eb="2">
      <t>ホセイ</t>
    </rPh>
    <rPh sb="2" eb="3">
      <t>マエ</t>
    </rPh>
    <phoneticPr fontId="22"/>
  </si>
  <si>
    <t>補正前計</t>
    <rPh sb="0" eb="2">
      <t>ホセイ</t>
    </rPh>
    <rPh sb="2" eb="3">
      <t>マエ</t>
    </rPh>
    <rPh sb="3" eb="4">
      <t>ケイ</t>
    </rPh>
    <phoneticPr fontId="22"/>
  </si>
  <si>
    <t>対象外の選択</t>
    <rPh sb="0" eb="3">
      <t>タイショウガイ</t>
    </rPh>
    <rPh sb="4" eb="6">
      <t>センタク</t>
    </rPh>
    <phoneticPr fontId="22"/>
  </si>
  <si>
    <t>既定重み</t>
    <rPh sb="0" eb="2">
      <t>キテイ</t>
    </rPh>
    <rPh sb="2" eb="3">
      <t>オモ</t>
    </rPh>
    <phoneticPr fontId="22"/>
  </si>
  <si>
    <t>中庭やテラス、バルコニー、サンルーム、アルコーブ、屋根付広場、風光ボイド、アトリウム、等のように風や光が通り抜ける開放的な空間をうまく内部空間と連続させている。
または、</t>
    <phoneticPr fontId="22"/>
  </si>
  <si>
    <t>玄関廻り、バルコニー廻り等のプライバシーと公共性の接点の部分に、風光ボイド、花台、パーゴラ、奥行きのあるバルコニー等のしつらえによって、生活感が滲み出るような豊かな中間領域を形成している。</t>
    <phoneticPr fontId="22"/>
  </si>
  <si>
    <t>6）防犯性の配慮</t>
    <phoneticPr fontId="22"/>
  </si>
  <si>
    <t>建物外部の広場などのスペースにおいて、視線を遮らない様な樹木の配置、夜間照明の設置、防犯カメラの設置、防犯に役立つ窓の配置などを行い、防犯性に配慮している。
または、</t>
    <phoneticPr fontId="22"/>
  </si>
  <si>
    <t>広場や歩道状空地がない場合、建物周囲において、視線の行き届かない袋小路や通路などの死角空間を作らないようにし、また防犯に役立つ窓の配置をするなどして、防犯性に配慮している。</t>
    <phoneticPr fontId="22"/>
  </si>
  <si>
    <t>または、
敷地周囲に境界壁等を設ける場合、視線を遮るような連続した塀等を作らず，見通しの良いフェンスや背の低い生垣等を設けて防犯性・防災性に配慮している。</t>
    <phoneticPr fontId="22"/>
  </si>
  <si>
    <t>燃焼機器を使用しておらず、対象建築物の仮想閉空間から外部空間に対して大気汚染物質を全く発生しない。</t>
    <phoneticPr fontId="22"/>
  </si>
  <si>
    <t>評価する取組み表の評価ポイントの合計値が0ポイント</t>
    <phoneticPr fontId="22"/>
  </si>
  <si>
    <t>評価する取組み表の評価ポイントの合計値が1～5ポイント</t>
    <phoneticPr fontId="22"/>
  </si>
  <si>
    <t>緑被率、水被率、中・高木の水平投影面積率の合計が、
　　・10％以上20％未満の場合  (1ポイント)
　　・20％以上30％未満の場合 (2ポイント)
　　・30％以上の場合 (3ポイント)</t>
    <phoneticPr fontId="22"/>
  </si>
  <si>
    <t>待合室</t>
    <rPh sb="0" eb="3">
      <t>マチアイシツ</t>
    </rPh>
    <phoneticPr fontId="22"/>
  </si>
  <si>
    <t>ホテル・住宅</t>
    <rPh sb="4" eb="6">
      <t>ジュウタク</t>
    </rPh>
    <phoneticPr fontId="22"/>
  </si>
  <si>
    <t>書斎</t>
    <rPh sb="0" eb="2">
      <t>ショサイ</t>
    </rPh>
    <phoneticPr fontId="22"/>
  </si>
  <si>
    <t>寝室・客室</t>
    <rPh sb="0" eb="2">
      <t>シンシツ</t>
    </rPh>
    <rPh sb="3" eb="5">
      <t>キャクシツ</t>
    </rPh>
    <phoneticPr fontId="22"/>
  </si>
  <si>
    <t>気温上昇の抑制に努めるため
　・標準的な工夫をしている場合(1ポイント)
　・中間的な工夫をしている場合(2ポイント)
　・全面的な工夫をしている場合(3ポイント)</t>
    <phoneticPr fontId="22"/>
  </si>
  <si>
    <t>①風向きに対する配置や形状の工夫を机上で検討(机上予測)している場合(1ポイント)</t>
    <phoneticPr fontId="22"/>
  </si>
  <si>
    <r>
      <t>2.3.1</t>
    </r>
    <r>
      <rPr>
        <b/>
        <sz val="10"/>
        <rFont val="ＭＳ Ｐゴシック"/>
        <family val="3"/>
        <charset val="128"/>
      </rPr>
      <t>　雨水排水負荷低減</t>
    </r>
    <phoneticPr fontId="22"/>
  </si>
  <si>
    <r>
      <t xml:space="preserve">2.3.2 </t>
    </r>
    <r>
      <rPr>
        <b/>
        <sz val="10"/>
        <rFont val="ＭＳ Ｐゴシック"/>
        <family val="3"/>
        <charset val="128"/>
      </rPr>
      <t>汚水処理負荷抑制</t>
    </r>
    <phoneticPr fontId="22"/>
  </si>
  <si>
    <t>排出基準を満たした上でそれ以上の特別な工夫を実施し、汚水処理負荷を高く抑制している。</t>
    <phoneticPr fontId="22"/>
  </si>
  <si>
    <r>
      <t xml:space="preserve">2.3.3 </t>
    </r>
    <r>
      <rPr>
        <b/>
        <sz val="10"/>
        <rFont val="ＭＳ Ｐゴシック"/>
        <family val="3"/>
        <charset val="128"/>
      </rPr>
      <t>交通負荷抑制</t>
    </r>
    <phoneticPr fontId="22"/>
  </si>
  <si>
    <t>評価する取組み表の評価ポイントの合計値が0ポイント</t>
    <phoneticPr fontId="22"/>
  </si>
  <si>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22"/>
  </si>
  <si>
    <t>レベル</t>
    <phoneticPr fontId="22"/>
  </si>
  <si>
    <t>N.A.</t>
    <phoneticPr fontId="22"/>
  </si>
  <si>
    <t>35＜ [騒音レベル] ≦40</t>
  </si>
  <si>
    <t>　レベル　4</t>
  </si>
  <si>
    <t>■レベル　4</t>
  </si>
  <si>
    <t>[騒音レベル] ≦40</t>
  </si>
  <si>
    <t>[騒音レベル] ≦35</t>
  </si>
  <si>
    <t>[騒音レベル] ≦45</t>
  </si>
  <si>
    <t>[騒音レベル] ≦30</t>
  </si>
  <si>
    <t>[騒音レベル] ≦35</t>
    <phoneticPr fontId="22"/>
  </si>
  <si>
    <t>　レベル　5</t>
  </si>
  <si>
    <t>■レベル　5</t>
  </si>
  <si>
    <t>騒音：　室内許容騒音レベル＊</t>
    <rPh sb="4" eb="6">
      <t>シツナイ</t>
    </rPh>
    <rPh sb="6" eb="8">
      <t>キョヨウ</t>
    </rPh>
    <rPh sb="8" eb="10">
      <t>ソウオン</t>
    </rPh>
    <phoneticPr fontId="22"/>
  </si>
  <si>
    <t>無音感―――</t>
    <rPh sb="0" eb="2">
      <t>ムオン</t>
    </rPh>
    <rPh sb="2" eb="3">
      <t>カン</t>
    </rPh>
    <phoneticPr fontId="22"/>
  </si>
  <si>
    <t>―――――――――非常に静か―――――――――</t>
    <rPh sb="9" eb="11">
      <t>ヒジョウ</t>
    </rPh>
    <rPh sb="12" eb="13">
      <t>シズ</t>
    </rPh>
    <phoneticPr fontId="22"/>
  </si>
  <si>
    <t>―特に気にならない――――――</t>
    <rPh sb="1" eb="2">
      <t>トク</t>
    </rPh>
    <rPh sb="3" eb="4">
      <t>キ</t>
    </rPh>
    <phoneticPr fontId="22"/>
  </si>
  <si>
    <t>騒音を感じる―</t>
    <rPh sb="0" eb="2">
      <t>ソウオン</t>
    </rPh>
    <rPh sb="3" eb="4">
      <t>カン</t>
    </rPh>
    <phoneticPr fontId="22"/>
  </si>
  <si>
    <t xml:space="preserve">              ――――――騒音を無視できない</t>
    <rPh sb="20" eb="22">
      <t>ソウオン</t>
    </rPh>
    <rPh sb="23" eb="25">
      <t>ムシ</t>
    </rPh>
    <phoneticPr fontId="22"/>
  </si>
  <si>
    <t>会話・電話への影響</t>
    <rPh sb="0" eb="2">
      <t>カイワ</t>
    </rPh>
    <rPh sb="3" eb="5">
      <t>デンワ</t>
    </rPh>
    <rPh sb="7" eb="9">
      <t>エイキョウ</t>
    </rPh>
    <phoneticPr fontId="22"/>
  </si>
  <si>
    <t>５ｍ離れてささ</t>
    <rPh sb="2" eb="3">
      <t>ハナ</t>
    </rPh>
    <phoneticPr fontId="22"/>
  </si>
  <si>
    <t>――――１０ｍ離れて会議可能――――</t>
    <rPh sb="7" eb="8">
      <t>ハナ</t>
    </rPh>
    <rPh sb="10" eb="12">
      <t>カイギ</t>
    </rPh>
    <rPh sb="12" eb="14">
      <t>カノウ</t>
    </rPh>
    <phoneticPr fontId="22"/>
  </si>
  <si>
    <t>――普通会話（３ｍ以内）――――</t>
    <rPh sb="2" eb="4">
      <t>フツウ</t>
    </rPh>
    <rPh sb="4" eb="6">
      <t>カイワ</t>
    </rPh>
    <rPh sb="9" eb="11">
      <t>イナイ</t>
    </rPh>
    <phoneticPr fontId="22"/>
  </si>
  <si>
    <t>大声会話（３ｍ）</t>
    <rPh sb="0" eb="2">
      <t>オオゴエ</t>
    </rPh>
    <rPh sb="2" eb="4">
      <t>カイワ</t>
    </rPh>
    <phoneticPr fontId="22"/>
  </si>
  <si>
    <t>　・風下地域への風の通り道と特に関係しない場合(1ポイント)
　・風下地域への風の通り道を遮らないよう配慮している場合(2ポイント)</t>
    <phoneticPr fontId="22"/>
  </si>
  <si>
    <t>卓越風向に対する建築物の見付面積比が
　・60％以上80％未満の場合(1ポイント)
　・40％以上60％未満の場合(2ポイント)
　・40％未満の場合(3ポイント)</t>
    <phoneticPr fontId="22"/>
  </si>
  <si>
    <t>機械・配管支持方法</t>
    <rPh sb="0" eb="2">
      <t>キカイ</t>
    </rPh>
    <rPh sb="3" eb="5">
      <t>ハイカン</t>
    </rPh>
    <rPh sb="5" eb="7">
      <t>シジ</t>
    </rPh>
    <rPh sb="7" eb="9">
      <t>ホウホウ</t>
    </rPh>
    <phoneticPr fontId="22"/>
  </si>
  <si>
    <t>通信・情報設備</t>
    <rPh sb="0" eb="2">
      <t>ツウシン</t>
    </rPh>
    <rPh sb="3" eb="5">
      <t>ジョウホウ</t>
    </rPh>
    <rPh sb="5" eb="7">
      <t>セツビ</t>
    </rPh>
    <phoneticPr fontId="22"/>
  </si>
  <si>
    <t>対応性・更新性</t>
    <rPh sb="0" eb="3">
      <t>タイオウセイ</t>
    </rPh>
    <rPh sb="4" eb="6">
      <t>コウシン</t>
    </rPh>
    <rPh sb="6" eb="7">
      <t>セイ</t>
    </rPh>
    <phoneticPr fontId="22"/>
  </si>
  <si>
    <t>空間のゆとり</t>
  </si>
  <si>
    <t>階高のゆとり</t>
    <rPh sb="0" eb="1">
      <t>カイ</t>
    </rPh>
    <rPh sb="1" eb="2">
      <t>ダカ</t>
    </rPh>
    <phoneticPr fontId="22"/>
  </si>
  <si>
    <t>空間の形状・自由さ</t>
    <rPh sb="0" eb="2">
      <t>クウカン</t>
    </rPh>
    <rPh sb="3" eb="5">
      <t>ケイジョウ</t>
    </rPh>
    <rPh sb="6" eb="8">
      <t>ジユウ</t>
    </rPh>
    <phoneticPr fontId="22"/>
  </si>
  <si>
    <t>荷重のゆとり</t>
  </si>
  <si>
    <t>設備の更新性</t>
  </si>
  <si>
    <t>給排水管の更新性</t>
    <rPh sb="0" eb="1">
      <t>キュウ</t>
    </rPh>
    <rPh sb="1" eb="4">
      <t>ハイスイカン</t>
    </rPh>
    <rPh sb="5" eb="7">
      <t>コウシン</t>
    </rPh>
    <rPh sb="7" eb="8">
      <t>セイ</t>
    </rPh>
    <phoneticPr fontId="22"/>
  </si>
  <si>
    <t>電気配線の更新性</t>
    <rPh sb="0" eb="2">
      <t>デンキ</t>
    </rPh>
    <rPh sb="2" eb="4">
      <t>ハイセン</t>
    </rPh>
    <rPh sb="5" eb="7">
      <t>コウシン</t>
    </rPh>
    <rPh sb="7" eb="8">
      <t>セイ</t>
    </rPh>
    <phoneticPr fontId="22"/>
  </si>
  <si>
    <t>通信配線の更新性</t>
    <rPh sb="0" eb="2">
      <t>ツウシン</t>
    </rPh>
    <rPh sb="2" eb="4">
      <t>ハイセン</t>
    </rPh>
    <rPh sb="5" eb="7">
      <t>コウシン</t>
    </rPh>
    <rPh sb="7" eb="8">
      <t>セイ</t>
    </rPh>
    <phoneticPr fontId="22"/>
  </si>
  <si>
    <t>設備機器の更新性</t>
    <rPh sb="0" eb="2">
      <t>セツビ</t>
    </rPh>
    <rPh sb="2" eb="4">
      <t>キキ</t>
    </rPh>
    <rPh sb="5" eb="7">
      <t>コウシン</t>
    </rPh>
    <rPh sb="7" eb="8">
      <t>セイ</t>
    </rPh>
    <phoneticPr fontId="22"/>
  </si>
  <si>
    <t>バックアップスペースの確保</t>
    <rPh sb="11" eb="13">
      <t>カクホ</t>
    </rPh>
    <phoneticPr fontId="22"/>
  </si>
  <si>
    <t>生物環境の保全と創出</t>
    <rPh sb="0" eb="2">
      <t>セイブツ</t>
    </rPh>
    <rPh sb="2" eb="4">
      <t>カンキョウ</t>
    </rPh>
    <rPh sb="5" eb="7">
      <t>ホゼン</t>
    </rPh>
    <rPh sb="8" eb="10">
      <t>ソウシュツ</t>
    </rPh>
    <phoneticPr fontId="22"/>
  </si>
  <si>
    <t>まちなみ・景観への配慮</t>
    <rPh sb="5" eb="7">
      <t>ケイカン</t>
    </rPh>
    <rPh sb="9" eb="11">
      <t>ハイリョ</t>
    </rPh>
    <phoneticPr fontId="22"/>
  </si>
  <si>
    <t>地域性・アメニティへの配慮</t>
    <rPh sb="0" eb="3">
      <t>ﾁｲｷｾｲ</t>
    </rPh>
    <rPh sb="11" eb="13">
      <t>ﾊｲﾘｮ</t>
    </rPh>
    <phoneticPr fontId="35" type="noConversion"/>
  </si>
  <si>
    <t>地域性への配慮、快適性の向上</t>
  </si>
  <si>
    <t>敷地内温熱環境の向上</t>
    <rPh sb="0" eb="2">
      <t>シキチ</t>
    </rPh>
    <rPh sb="2" eb="3">
      <t>ナイ</t>
    </rPh>
    <rPh sb="3" eb="5">
      <t>オンネツ</t>
    </rPh>
    <rPh sb="8" eb="10">
      <t>コウジョウ</t>
    </rPh>
    <phoneticPr fontId="22"/>
  </si>
  <si>
    <t>LR　建築物の環境負荷低減性</t>
    <phoneticPr fontId="22"/>
  </si>
  <si>
    <t>LR1</t>
    <phoneticPr fontId="35" type="noConversion"/>
  </si>
  <si>
    <t>エネルギー</t>
    <phoneticPr fontId="22"/>
  </si>
  <si>
    <t>自然エネルギー利用</t>
    <rPh sb="0" eb="2">
      <t>ｼｾﾞﾝ</t>
    </rPh>
    <rPh sb="7" eb="9">
      <t>ﾘﾖｳ</t>
    </rPh>
    <phoneticPr fontId="35" type="noConversion"/>
  </si>
  <si>
    <t>実施・竣工</t>
    <rPh sb="0" eb="2">
      <t>ジッシ</t>
    </rPh>
    <rPh sb="3" eb="5">
      <t>シュンコウ</t>
    </rPh>
    <phoneticPr fontId="22"/>
  </si>
  <si>
    <t>基本</t>
    <rPh sb="0" eb="2">
      <t>キホン</t>
    </rPh>
    <phoneticPr fontId="22"/>
  </si>
  <si>
    <t>自然エネルギーの直接利用</t>
  </si>
  <si>
    <t>自然エネルギーの変換利用</t>
  </si>
  <si>
    <t>設備システムの高効率化</t>
    <rPh sb="0" eb="2">
      <t>ｾﾂﾋﾞ</t>
    </rPh>
    <rPh sb="7" eb="8">
      <t>ｺｳ</t>
    </rPh>
    <rPh sb="8" eb="10">
      <t>ｺｳﾘﾂ</t>
    </rPh>
    <rPh sb="10" eb="11">
      <t>ｶ</t>
    </rPh>
    <phoneticPr fontId="35" type="noConversion"/>
  </si>
  <si>
    <t>空調設備</t>
  </si>
  <si>
    <t>換気設備</t>
  </si>
  <si>
    <t>照明設備</t>
  </si>
  <si>
    <t>給湯設備</t>
  </si>
  <si>
    <t>昇降機設備</t>
  </si>
  <si>
    <t>効率的運用</t>
    <rPh sb="0" eb="3">
      <t>ｺｳﾘﾂﾃｷ</t>
    </rPh>
    <rPh sb="3" eb="5">
      <t>ｳﾝﾖｳ</t>
    </rPh>
    <phoneticPr fontId="35" type="noConversion"/>
  </si>
  <si>
    <t>運用管理体制</t>
    <rPh sb="0" eb="2">
      <t>ｳﾝﾖｳ</t>
    </rPh>
    <rPh sb="2" eb="4">
      <t>ｶﾝﾘ</t>
    </rPh>
    <rPh sb="4" eb="6">
      <t>ﾀｲｾｲ</t>
    </rPh>
    <phoneticPr fontId="35" type="noConversion"/>
  </si>
  <si>
    <t>水資源保護</t>
    <rPh sb="0" eb="1">
      <t>ﾐｽﾞ</t>
    </rPh>
    <rPh sb="1" eb="3">
      <t>ｼｹﾞﾝ</t>
    </rPh>
    <rPh sb="3" eb="5">
      <t>ﾎｺﾞ</t>
    </rPh>
    <phoneticPr fontId="35" type="noConversion"/>
  </si>
  <si>
    <t>節水</t>
    <rPh sb="0" eb="2">
      <t>ｾｯｽｲ</t>
    </rPh>
    <phoneticPr fontId="35" type="noConversion"/>
  </si>
  <si>
    <t>雨水利用・雑排水等の利用</t>
    <rPh sb="0" eb="2">
      <t>ｳｽｲ</t>
    </rPh>
    <rPh sb="2" eb="4">
      <t>ﾘﾖｳ</t>
    </rPh>
    <rPh sb="5" eb="8">
      <t>ｻﾞﾂﾊｲｽｲ</t>
    </rPh>
    <rPh sb="8" eb="9">
      <t>ﾄｳ</t>
    </rPh>
    <rPh sb="10" eb="12">
      <t>ﾘﾖｳ</t>
    </rPh>
    <phoneticPr fontId="35" type="noConversion"/>
  </si>
  <si>
    <t>雨水利用システム導入の有無</t>
    <rPh sb="0" eb="2">
      <t>ウスイ</t>
    </rPh>
    <rPh sb="2" eb="4">
      <t>リヨウ</t>
    </rPh>
    <rPh sb="8" eb="10">
      <t>ドウニュウ</t>
    </rPh>
    <rPh sb="11" eb="13">
      <t>ウム</t>
    </rPh>
    <phoneticPr fontId="22"/>
  </si>
  <si>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</si>
  <si>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2"/>
  </si>
  <si>
    <t>材料使用量の削減</t>
    <rPh sb="0" eb="2">
      <t>ザイリョウ</t>
    </rPh>
    <rPh sb="2" eb="4">
      <t>シヨウ</t>
    </rPh>
    <rPh sb="4" eb="5">
      <t>リョウ</t>
    </rPh>
    <rPh sb="6" eb="8">
      <t>サクゲン</t>
    </rPh>
    <phoneticPr fontId="22"/>
  </si>
  <si>
    <t>既存建築躯体等の継続使用</t>
    <rPh sb="6" eb="7">
      <t>トウ</t>
    </rPh>
    <rPh sb="8" eb="10">
      <t>ケイゾク</t>
    </rPh>
    <rPh sb="10" eb="12">
      <t>シヨウ</t>
    </rPh>
    <phoneticPr fontId="22"/>
  </si>
  <si>
    <t>躯体材料におけるリサイクル材の使用</t>
    <rPh sb="0" eb="2">
      <t>クタイ</t>
    </rPh>
    <rPh sb="2" eb="4">
      <t>ザイリョウ</t>
    </rPh>
    <rPh sb="13" eb="14">
      <t>ザイ</t>
    </rPh>
    <rPh sb="15" eb="17">
      <t>シヨウ</t>
    </rPh>
    <phoneticPr fontId="22"/>
  </si>
  <si>
    <t>持続可能な森林から産出された木材</t>
  </si>
  <si>
    <t>部材の再利用可能性向上への取組み</t>
    <rPh sb="9" eb="11">
      <t>コウジョウ</t>
    </rPh>
    <rPh sb="13" eb="15">
      <t>トリク</t>
    </rPh>
    <phoneticPr fontId="22"/>
  </si>
  <si>
    <t>汚染物質含有材料の使用回避</t>
    <rPh sb="0" eb="2">
      <t>オセン</t>
    </rPh>
    <rPh sb="2" eb="4">
      <t>ブッシツ</t>
    </rPh>
    <rPh sb="4" eb="6">
      <t>ガンユウ</t>
    </rPh>
    <rPh sb="6" eb="8">
      <t>ザイリョウ</t>
    </rPh>
    <rPh sb="9" eb="11">
      <t>シヨウ</t>
    </rPh>
    <rPh sb="11" eb="13">
      <t>カイヒ</t>
    </rPh>
    <phoneticPr fontId="22"/>
  </si>
  <si>
    <t>有害物質を含まない材料の使用</t>
    <rPh sb="0" eb="2">
      <t>ユウガイ</t>
    </rPh>
    <rPh sb="2" eb="4">
      <t>ブッシツ</t>
    </rPh>
    <rPh sb="5" eb="6">
      <t>フク</t>
    </rPh>
    <rPh sb="12" eb="14">
      <t>シヨウ</t>
    </rPh>
    <phoneticPr fontId="22"/>
  </si>
  <si>
    <t>フロン・ハロンの回避</t>
    <rPh sb="8" eb="10">
      <t>カイヒ</t>
    </rPh>
    <phoneticPr fontId="22"/>
  </si>
  <si>
    <t>事務室の天井高2.9m以上となっており、かつ、すべての執務者が十分な屋外の情報を得られるように窓が設置されている。</t>
    <phoneticPr fontId="22"/>
  </si>
  <si>
    <t>売場の天井高3.6m以上。</t>
    <phoneticPr fontId="22"/>
  </si>
  <si>
    <t>住居・宿泊部の天井高2.7m以上。</t>
    <phoneticPr fontId="22"/>
  </si>
  <si>
    <r>
      <t xml:space="preserve">1.2.2 </t>
    </r>
    <r>
      <rPr>
        <b/>
        <sz val="10"/>
        <rFont val="ＭＳ Ｐゴシック"/>
        <family val="3"/>
        <charset val="128"/>
      </rPr>
      <t>リフレッシュスペース</t>
    </r>
    <phoneticPr fontId="22"/>
  </si>
  <si>
    <t>-</t>
    <phoneticPr fontId="22"/>
  </si>
  <si>
    <t>レストスペースが売り場面積の2％以上</t>
    <phoneticPr fontId="22"/>
  </si>
  <si>
    <t>レストスペースが売り場面積の3％以上</t>
    <phoneticPr fontId="22"/>
  </si>
  <si>
    <t>レストスペースが売り場面積の4％以上</t>
    <phoneticPr fontId="22"/>
  </si>
  <si>
    <t>評価する取り組みのうち２つの項目に該当する。</t>
    <phoneticPr fontId="22"/>
  </si>
  <si>
    <t>評価する取り組みのうち３つの項目に該当する。</t>
    <phoneticPr fontId="22"/>
  </si>
  <si>
    <t>評価する取り組みのうち４つの項目に該当する。</t>
    <phoneticPr fontId="22"/>
  </si>
  <si>
    <t>住居宿泊部分</t>
    <phoneticPr fontId="22"/>
  </si>
  <si>
    <t>モックアップ（実物大模型）やインテリアパースによる内装計画の事前検証を実施している。</t>
    <phoneticPr fontId="22"/>
  </si>
  <si>
    <t>①　内装仕上げ：内壁面は防汚性の高い仕上げ方法や建材、塗装、コーティングを採用している。</t>
    <phoneticPr fontId="22"/>
  </si>
  <si>
    <t>⑤　内装設計：風除室の１次扉と２次扉が同時に開かないように距離を確保し、または土砂などの進入を防ぐ為の設計をしている。</t>
    <phoneticPr fontId="22"/>
  </si>
  <si>
    <t>⑦　外装仕上げ：外壁面やガラスは防汚性の高い建材や耐候性塗料や親水性塗料などを施した仕上げを採用している。</t>
    <phoneticPr fontId="22"/>
  </si>
  <si>
    <t>⑨　外装設計：害鳥（鳩・烏・椋鳥など）への糞害予防、対策を実施している。</t>
    <phoneticPr fontId="22"/>
  </si>
  <si>
    <t>⑫　その他：上記以外の部分にて維持管理に配慮した設計の取り組みをしている。</t>
    <phoneticPr fontId="22"/>
  </si>
  <si>
    <t>合計＝</t>
    <phoneticPr fontId="22"/>
  </si>
  <si>
    <t>建築物衛生法における特定建築物に該当しない建築物</t>
    <phoneticPr fontId="22"/>
  </si>
  <si>
    <t>(該当するレベルなし)</t>
    <phoneticPr fontId="22"/>
  </si>
  <si>
    <t>建築物衛生法における特定建築物</t>
    <phoneticPr fontId="22"/>
  </si>
  <si>
    <t>冷却塔がない。または、冷却塔の水処理、飛散対策等が十分に施されており、給湯器は最低限の対策が施されている。</t>
  </si>
  <si>
    <t>換気</t>
    <rPh sb="0" eb="2">
      <t>カンキ</t>
    </rPh>
    <phoneticPr fontId="22"/>
  </si>
  <si>
    <r>
      <t xml:space="preserve">4.2.1 </t>
    </r>
    <r>
      <rPr>
        <b/>
        <sz val="10"/>
        <rFont val="ＭＳ Ｐゴシック"/>
        <family val="3"/>
        <charset val="128"/>
      </rPr>
      <t>換気量</t>
    </r>
    <rPh sb="6" eb="9">
      <t>カンキリョウ</t>
    </rPh>
    <phoneticPr fontId="22"/>
  </si>
  <si>
    <t>事・学(大学等)・物・飲・会・病・ホ・工・住</t>
    <rPh sb="0" eb="1">
      <t>コト</t>
    </rPh>
    <rPh sb="2" eb="3">
      <t>ガク</t>
    </rPh>
    <rPh sb="9" eb="10">
      <t>モノ</t>
    </rPh>
    <rPh sb="11" eb="12">
      <t>イン</t>
    </rPh>
    <rPh sb="13" eb="14">
      <t>カイ</t>
    </rPh>
    <rPh sb="15" eb="16">
      <t>ヤマイ</t>
    </rPh>
    <rPh sb="21" eb="22">
      <t>ジュウ</t>
    </rPh>
    <phoneticPr fontId="22"/>
  </si>
  <si>
    <t>中央管理方式の空気調和設備が設置されている居室の場合は30㎥/ｈ人以上。中央管理方式でない場合は建築基準法（シックハウス対応含む）および建築物衛生法を満たす換気量の1.2倍となっている。</t>
    <rPh sb="32" eb="33">
      <t>ニン</t>
    </rPh>
    <rPh sb="33" eb="35">
      <t>イジョウ</t>
    </rPh>
    <phoneticPr fontId="22"/>
  </si>
  <si>
    <t>中央管理方式の空気調和設備が設置されている居室の場合は35㎥/ｈ人以上。中央管理方式でない場合は建築基準法（シックハウス対応含む）および建築物衛生法を満たす換気量の1.4倍となっている。</t>
    <phoneticPr fontId="22"/>
  </si>
  <si>
    <r>
      <t xml:space="preserve">4.2.2 </t>
    </r>
    <r>
      <rPr>
        <b/>
        <sz val="10"/>
        <rFont val="ＭＳ Ｐゴシック"/>
        <family val="3"/>
        <charset val="128"/>
      </rPr>
      <t>自然換気性能</t>
    </r>
    <rPh sb="6" eb="8">
      <t>シゼン</t>
    </rPh>
    <rPh sb="8" eb="10">
      <t>カンキ</t>
    </rPh>
    <rPh sb="10" eb="12">
      <t>セイノウ</t>
    </rPh>
    <phoneticPr fontId="22"/>
  </si>
  <si>
    <t>地域区分Ⅱ</t>
  </si>
  <si>
    <t>照明計画と内装計画が一体として計画されるよう、内装計画の段階で、具体的な取り組みがある。（例えば、用途に適した雰囲気を演出するための間接照明の採用や光源の色温度の計画を内装計画と合わせて実施している等）</t>
    <rPh sb="45" eb="46">
      <t>タト</t>
    </rPh>
    <rPh sb="49" eb="51">
      <t>ヨウト</t>
    </rPh>
    <rPh sb="52" eb="53">
      <t>テキ</t>
    </rPh>
    <rPh sb="55" eb="58">
      <t>フンイキ</t>
    </rPh>
    <rPh sb="59" eb="61">
      <t>エンシュツ</t>
    </rPh>
    <rPh sb="66" eb="68">
      <t>カンセツ</t>
    </rPh>
    <rPh sb="68" eb="70">
      <t>ショウメイ</t>
    </rPh>
    <rPh sb="71" eb="73">
      <t>サイヨウ</t>
    </rPh>
    <rPh sb="74" eb="75">
      <t>ヒカリ</t>
    </rPh>
    <rPh sb="75" eb="76">
      <t>ゲン</t>
    </rPh>
    <rPh sb="77" eb="78">
      <t>イロ</t>
    </rPh>
    <rPh sb="78" eb="80">
      <t>オンド</t>
    </rPh>
    <rPh sb="81" eb="83">
      <t>ケイカク</t>
    </rPh>
    <rPh sb="84" eb="86">
      <t>ナイソウ</t>
    </rPh>
    <rPh sb="86" eb="88">
      <t>ケイカク</t>
    </rPh>
    <rPh sb="89" eb="90">
      <t>ア</t>
    </rPh>
    <rPh sb="93" eb="95">
      <t>ジッシ</t>
    </rPh>
    <rPh sb="99" eb="100">
      <t>トウ</t>
    </rPh>
    <phoneticPr fontId="22"/>
  </si>
  <si>
    <r>
      <t xml:space="preserve">1.3.1 </t>
    </r>
    <r>
      <rPr>
        <b/>
        <sz val="10"/>
        <rFont val="ＭＳ Ｐゴシック"/>
        <family val="3"/>
        <charset val="128"/>
      </rPr>
      <t>維持管理に配慮した設計</t>
    </r>
    <rPh sb="6" eb="8">
      <t>イジ</t>
    </rPh>
    <rPh sb="8" eb="10">
      <t>カンリ</t>
    </rPh>
    <rPh sb="11" eb="13">
      <t>ハイリョ</t>
    </rPh>
    <rPh sb="15" eb="17">
      <t>セッケイ</t>
    </rPh>
    <phoneticPr fontId="22"/>
  </si>
  <si>
    <t>建物全体・共用部分</t>
    <phoneticPr fontId="22"/>
  </si>
  <si>
    <t>延床面積＝</t>
    <rPh sb="0" eb="1">
      <t>ノベ</t>
    </rPh>
    <rPh sb="1" eb="4">
      <t>ユカメンセキ</t>
    </rPh>
    <phoneticPr fontId="22"/>
  </si>
  <si>
    <t>備考</t>
    <rPh sb="0" eb="2">
      <t>ビコウ</t>
    </rPh>
    <phoneticPr fontId="22"/>
  </si>
  <si>
    <t>式設定</t>
    <rPh sb="0" eb="1">
      <t>シキ</t>
    </rPh>
    <rPh sb="1" eb="3">
      <t>セッテイ</t>
    </rPh>
    <phoneticPr fontId="22"/>
  </si>
  <si>
    <t>評価する取組み表の評価ポイントの合計値が18ポイント以上</t>
  </si>
  <si>
    <t>2～3</t>
  </si>
  <si>
    <t>学校版基準</t>
    <rPh sb="0" eb="2">
      <t>ガッコウ</t>
    </rPh>
    <rPh sb="2" eb="3">
      <t>バン</t>
    </rPh>
    <rPh sb="3" eb="5">
      <t>キジュン</t>
    </rPh>
    <phoneticPr fontId="22"/>
  </si>
  <si>
    <t>一般地域</t>
    <rPh sb="0" eb="2">
      <t>イッパン</t>
    </rPh>
    <rPh sb="2" eb="4">
      <t>チイキ</t>
    </rPh>
    <phoneticPr fontId="3"/>
  </si>
  <si>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2"/>
  </si>
  <si>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2"/>
  </si>
  <si>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5" type="noConversion"/>
  </si>
  <si>
    <t>年間延床面積あたり指標</t>
    <rPh sb="0" eb="2">
      <t>ネンカン</t>
    </rPh>
    <rPh sb="2" eb="3">
      <t>ノ</t>
    </rPh>
    <rPh sb="3" eb="6">
      <t>ユカメンセキ</t>
    </rPh>
    <rPh sb="9" eb="11">
      <t>シヒョウ</t>
    </rPh>
    <phoneticPr fontId="22"/>
  </si>
  <si>
    <t>プルダウン選択肢</t>
    <rPh sb="5" eb="8">
      <t>センタクシ</t>
    </rPh>
    <phoneticPr fontId="22"/>
  </si>
  <si>
    <t>　レベル　2</t>
  </si>
  <si>
    <t>■レベル　2</t>
  </si>
  <si>
    <t>45＜ [騒音レベル] ≦50</t>
    <phoneticPr fontId="22"/>
  </si>
  <si>
    <t>40＜ [騒音レベル] ≦45</t>
    <phoneticPr fontId="22"/>
  </si>
  <si>
    <t>50＜ [騒音レベル] ≦55</t>
    <phoneticPr fontId="22"/>
  </si>
  <si>
    <t>35＜ [騒音レベル] ≦40</t>
    <phoneticPr fontId="22"/>
  </si>
  <si>
    <t>　レベル　3</t>
  </si>
  <si>
    <t>■レベル　3</t>
  </si>
  <si>
    <t>30＜ [騒音レベル] ≦35</t>
    <phoneticPr fontId="22"/>
  </si>
  <si>
    <t>35＜ [騒音レベル] ≦45</t>
    <phoneticPr fontId="22"/>
  </si>
  <si>
    <t>ISS 、設備階の設置などによって、仕上げ材を痛めることなく空調配管の更新・修繕が容易にできる。</t>
    <phoneticPr fontId="22"/>
  </si>
  <si>
    <t>構造部材、仕上げ材を痛めることなく修繕、更新できる。</t>
    <phoneticPr fontId="22"/>
  </si>
  <si>
    <t>小中（北海道）</t>
    <rPh sb="0" eb="1">
      <t>ショウ</t>
    </rPh>
    <rPh sb="1" eb="2">
      <t>チュウ</t>
    </rPh>
    <rPh sb="3" eb="6">
      <t>ホッカイドウ</t>
    </rPh>
    <phoneticPr fontId="22"/>
  </si>
  <si>
    <t>小中（その他）</t>
    <rPh sb="0" eb="2">
      <t>ショウチュウ</t>
    </rPh>
    <rPh sb="5" eb="6">
      <t>ホカ</t>
    </rPh>
    <phoneticPr fontId="22"/>
  </si>
  <si>
    <t>実排出係数及び代替値</t>
    <phoneticPr fontId="22"/>
  </si>
  <si>
    <t>調整後排出係数</t>
    <phoneticPr fontId="22"/>
  </si>
  <si>
    <t>評価ﾚﾍﾞﾙ</t>
    <phoneticPr fontId="22"/>
  </si>
  <si>
    <t>Ａａ1</t>
    <phoneticPr fontId="22"/>
  </si>
  <si>
    <t>Ａｂ1</t>
    <phoneticPr fontId="22"/>
  </si>
  <si>
    <t>Ｂａ1</t>
    <phoneticPr fontId="22"/>
  </si>
  <si>
    <t>Ｂｂ1</t>
    <phoneticPr fontId="22"/>
  </si>
  <si>
    <t>Ｃａ1</t>
    <phoneticPr fontId="22"/>
  </si>
  <si>
    <t>ratio</t>
    <phoneticPr fontId="22"/>
  </si>
  <si>
    <t>日本建築学会による2005年産業連関表分析による日本の平均値</t>
    <rPh sb="0" eb="2">
      <t>ニホン</t>
    </rPh>
    <rPh sb="2" eb="4">
      <t>ケンチク</t>
    </rPh>
    <rPh sb="4" eb="6">
      <t>ガッカイ</t>
    </rPh>
    <rPh sb="13" eb="14">
      <t>ネン</t>
    </rPh>
    <rPh sb="14" eb="16">
      <t>サンギョウ</t>
    </rPh>
    <rPh sb="16" eb="18">
      <t>レンカン</t>
    </rPh>
    <rPh sb="18" eb="19">
      <t>ヒョウ</t>
    </rPh>
    <rPh sb="19" eb="21">
      <t>ブンセキ</t>
    </rPh>
    <rPh sb="24" eb="26">
      <t>ニホン</t>
    </rPh>
    <rPh sb="27" eb="30">
      <t>ヘイキンチ</t>
    </rPh>
    <phoneticPr fontId="22"/>
  </si>
  <si>
    <t>日本建築学会による2005年産業連関表分析による分析結果</t>
    <rPh sb="0" eb="2">
      <t>ニホン</t>
    </rPh>
    <rPh sb="2" eb="4">
      <t>ケンチク</t>
    </rPh>
    <rPh sb="4" eb="6">
      <t>ガッカイ</t>
    </rPh>
    <rPh sb="13" eb="14">
      <t>ネン</t>
    </rPh>
    <rPh sb="14" eb="16">
      <t>サンギョウ</t>
    </rPh>
    <rPh sb="16" eb="18">
      <t>レンカン</t>
    </rPh>
    <rPh sb="18" eb="19">
      <t>ヒョウ</t>
    </rPh>
    <rPh sb="19" eb="21">
      <t>ブンセキ</t>
    </rPh>
    <rPh sb="24" eb="26">
      <t>ブンセキ</t>
    </rPh>
    <rPh sb="26" eb="28">
      <t>ケッカ</t>
    </rPh>
    <phoneticPr fontId="22"/>
  </si>
  <si>
    <t>&lt;評価しない&gt;</t>
    <rPh sb="1" eb="3">
      <t>ヒョウカ</t>
    </rPh>
    <phoneticPr fontId="22"/>
  </si>
  <si>
    <t>音環境</t>
    <rPh sb="0" eb="1">
      <t>オト</t>
    </rPh>
    <rPh sb="1" eb="3">
      <t>カンキョウ</t>
    </rPh>
    <phoneticPr fontId="22"/>
  </si>
  <si>
    <t>建物全体・共用部分</t>
    <phoneticPr fontId="22"/>
  </si>
  <si>
    <t>重み係数(既定）＝</t>
    <rPh sb="0" eb="1">
      <t>オモ</t>
    </rPh>
    <rPh sb="2" eb="4">
      <t>ケイスウ</t>
    </rPh>
    <rPh sb="5" eb="7">
      <t>キテイ</t>
    </rPh>
    <phoneticPr fontId="22"/>
  </si>
  <si>
    <t>学(小中高)</t>
    <rPh sb="0" eb="1">
      <t>ガク</t>
    </rPh>
    <rPh sb="2" eb="5">
      <t>ショウチュウコウ</t>
    </rPh>
    <phoneticPr fontId="22"/>
  </si>
  <si>
    <t>病・ホ・住</t>
    <rPh sb="0" eb="1">
      <t>ビョウ</t>
    </rPh>
    <rPh sb="4" eb="5">
      <t>ジュウ</t>
    </rPh>
    <phoneticPr fontId="22"/>
  </si>
  <si>
    <t>50＜ [騒音レベル]</t>
  </si>
  <si>
    <t>45＜ [騒音レベル]</t>
  </si>
  <si>
    <t>55＜ [騒音レベル]</t>
    <phoneticPr fontId="22"/>
  </si>
  <si>
    <t>40＜ [騒音レベル]</t>
  </si>
  <si>
    <r>
      <t>ライフサイクルCO</t>
    </r>
    <r>
      <rPr>
        <b/>
        <vertAlign val="subscript"/>
        <sz val="10"/>
        <rFont val="ＭＳ Ｐゴシック"/>
        <family val="3"/>
        <charset val="128"/>
      </rPr>
      <t>2</t>
    </r>
    <r>
      <rPr>
        <b/>
        <sz val="10"/>
        <rFont val="ＭＳ Ｐゴシック"/>
        <family val="3"/>
        <charset val="128"/>
      </rPr>
      <t>概算値</t>
    </r>
    <rPh sb="10" eb="12">
      <t>ガイサン</t>
    </rPh>
    <rPh sb="12" eb="13">
      <t>チ</t>
    </rPh>
    <phoneticPr fontId="22"/>
  </si>
  <si>
    <r>
      <t>kg-CO</t>
    </r>
    <r>
      <rPr>
        <vertAlign val="subscript"/>
        <sz val="9"/>
        <rFont val="ＭＳ Ｐゴシック"/>
        <family val="3"/>
        <charset val="128"/>
      </rPr>
      <t>2</t>
    </r>
    <r>
      <rPr>
        <sz val="9"/>
        <rFont val="ＭＳ Ｐゴシック"/>
        <family val="3"/>
        <charset val="128"/>
      </rPr>
      <t>/年㎡</t>
    </r>
    <rPh sb="7" eb="8">
      <t>ネン</t>
    </rPh>
    <phoneticPr fontId="22"/>
  </si>
  <si>
    <t>HFC－245ca</t>
  </si>
  <si>
    <t>FC－14</t>
  </si>
  <si>
    <t>FC－116</t>
  </si>
  <si>
    <t>FC－218</t>
  </si>
  <si>
    <t>FC－C318</t>
  </si>
  <si>
    <t>対象外</t>
    <rPh sb="0" eb="2">
      <t>タイショウ</t>
    </rPh>
    <rPh sb="2" eb="3">
      <t>ガイ</t>
    </rPh>
    <phoneticPr fontId="22"/>
  </si>
  <si>
    <t>ライフサイクルCO2排出率が、一般的な建物（参照値）に対して１２５％以上</t>
    <rPh sb="19" eb="21">
      <t>タテモノ</t>
    </rPh>
    <phoneticPr fontId="22"/>
  </si>
  <si>
    <t>ライフサイクルCO2排出率が、一般的な建物（参照値）と同等</t>
    <rPh sb="19" eb="21">
      <t>タテモノ</t>
    </rPh>
    <phoneticPr fontId="22"/>
  </si>
  <si>
    <t>自走式駐車場、機械式駐車場（防護区画内に人が乗り入れるものに限る。）</t>
    <rPh sb="0" eb="3">
      <t>ジソウシキ</t>
    </rPh>
    <rPh sb="3" eb="6">
      <t>チュウシャジョウ</t>
    </rPh>
    <rPh sb="7" eb="10">
      <t>キカイシキ</t>
    </rPh>
    <rPh sb="10" eb="13">
      <t>チュウシャジョウ</t>
    </rPh>
    <rPh sb="14" eb="16">
      <t>ボウゴ</t>
    </rPh>
    <rPh sb="16" eb="18">
      <t>クカク</t>
    </rPh>
    <rPh sb="18" eb="19">
      <t>ナイ</t>
    </rPh>
    <rPh sb="20" eb="21">
      <t>ヒト</t>
    </rPh>
    <rPh sb="22" eb="23">
      <t>ノ</t>
    </rPh>
    <rPh sb="24" eb="25">
      <t>イ</t>
    </rPh>
    <rPh sb="30" eb="31">
      <t>カギ</t>
    </rPh>
    <phoneticPr fontId="22"/>
  </si>
  <si>
    <t>発泡断熱材種別</t>
    <rPh sb="0" eb="2">
      <t>ハッポウ</t>
    </rPh>
    <rPh sb="2" eb="5">
      <t>ダンネツザイ</t>
    </rPh>
    <rPh sb="5" eb="7">
      <t>シュベツ</t>
    </rPh>
    <phoneticPr fontId="22"/>
  </si>
  <si>
    <t>使用年代</t>
    <rPh sb="0" eb="2">
      <t>シヨウ</t>
    </rPh>
    <rPh sb="2" eb="4">
      <t>ネンダイ</t>
    </rPh>
    <phoneticPr fontId="22"/>
  </si>
  <si>
    <t>発泡剤物質名</t>
    <rPh sb="0" eb="2">
      <t>ハッポウ</t>
    </rPh>
    <rPh sb="2" eb="3">
      <t>ザイ</t>
    </rPh>
    <rPh sb="3" eb="5">
      <t>ブッシツ</t>
    </rPh>
    <rPh sb="5" eb="6">
      <t>メイ</t>
    </rPh>
    <phoneticPr fontId="22"/>
  </si>
  <si>
    <r>
      <t>ＧＷＰ</t>
    </r>
    <r>
      <rPr>
        <sz val="6"/>
        <rFont val="ＭＳ Ｐゴシック"/>
        <family val="3"/>
        <charset val="128"/>
      </rPr>
      <t>（100年値）</t>
    </r>
    <rPh sb="7" eb="8">
      <t>ネン</t>
    </rPh>
    <rPh sb="8" eb="9">
      <t>アタイ</t>
    </rPh>
    <phoneticPr fontId="22"/>
  </si>
  <si>
    <t>ウレタンフォーム</t>
  </si>
  <si>
    <t>1995年以前</t>
    <rPh sb="4" eb="5">
      <t>ネン</t>
    </rPh>
    <rPh sb="5" eb="7">
      <t>イゼン</t>
    </rPh>
    <phoneticPr fontId="22"/>
  </si>
  <si>
    <t>2.3.2</t>
    <phoneticPr fontId="22"/>
  </si>
  <si>
    <t>2.3.3</t>
    <phoneticPr fontId="22"/>
  </si>
  <si>
    <t xml:space="preserve"> Q2 2.3</t>
    <phoneticPr fontId="22"/>
  </si>
  <si>
    <t>2.3.3</t>
    <phoneticPr fontId="22"/>
  </si>
  <si>
    <t>2.4.1</t>
    <phoneticPr fontId="22"/>
  </si>
  <si>
    <t>3.1.1</t>
    <phoneticPr fontId="22"/>
  </si>
  <si>
    <t>3.1.2</t>
    <phoneticPr fontId="22"/>
  </si>
  <si>
    <t>3.3.1</t>
    <phoneticPr fontId="22"/>
  </si>
  <si>
    <t>3.3.2</t>
    <phoneticPr fontId="22"/>
  </si>
  <si>
    <t>3.3.3</t>
    <phoneticPr fontId="22"/>
  </si>
  <si>
    <t>3.3.4</t>
    <phoneticPr fontId="22"/>
  </si>
  <si>
    <t>3.3.5</t>
    <phoneticPr fontId="22"/>
  </si>
  <si>
    <t>3.3.6</t>
    <phoneticPr fontId="22"/>
  </si>
  <si>
    <t>Q3</t>
    <phoneticPr fontId="22"/>
  </si>
  <si>
    <t>室外環境（敷地内）</t>
    <phoneticPr fontId="22"/>
  </si>
  <si>
    <t>まちなみ・景観への配慮</t>
    <phoneticPr fontId="22"/>
  </si>
  <si>
    <t>地域性・アメニティへの配慮</t>
    <phoneticPr fontId="22"/>
  </si>
  <si>
    <t>3.1</t>
    <phoneticPr fontId="22"/>
  </si>
  <si>
    <t>地域性への配慮、快適性の向上</t>
    <phoneticPr fontId="22"/>
  </si>
  <si>
    <t>3.2</t>
    <phoneticPr fontId="22"/>
  </si>
  <si>
    <t>敷地内温熱環境の向上</t>
    <phoneticPr fontId="22"/>
  </si>
  <si>
    <t>LR</t>
    <phoneticPr fontId="35" type="noConversion"/>
  </si>
  <si>
    <t>LR</t>
    <phoneticPr fontId="35" type="noConversion"/>
  </si>
  <si>
    <t>LR1</t>
    <phoneticPr fontId="35" type="noConversion"/>
  </si>
  <si>
    <t>LR</t>
    <phoneticPr fontId="22"/>
  </si>
  <si>
    <t>エネルギー</t>
    <phoneticPr fontId="22"/>
  </si>
  <si>
    <t>2.1</t>
    <phoneticPr fontId="22"/>
  </si>
  <si>
    <t>2.2</t>
    <phoneticPr fontId="22"/>
  </si>
  <si>
    <t>3a</t>
    <phoneticPr fontId="22"/>
  </si>
  <si>
    <t>LR1 3</t>
    <phoneticPr fontId="22"/>
  </si>
  <si>
    <t>LR1 3b</t>
    <phoneticPr fontId="22"/>
  </si>
  <si>
    <t>LR</t>
    <phoneticPr fontId="22"/>
  </si>
  <si>
    <t>地域区分Ⅰ</t>
    <phoneticPr fontId="22"/>
  </si>
  <si>
    <t xml:space="preserve"> 飲食店、食堂、喫茶店 など</t>
    <rPh sb="1" eb="3">
      <t>インショク</t>
    </rPh>
    <rPh sb="3" eb="4">
      <t>テン</t>
    </rPh>
    <rPh sb="5" eb="7">
      <t>ショクドウ</t>
    </rPh>
    <rPh sb="8" eb="11">
      <t>キッサテン</t>
    </rPh>
    <phoneticPr fontId="22"/>
  </si>
  <si>
    <t xml:space="preserve"> 工場、車庫、倉庫、観覧場、卸売市場 、電算室など</t>
    <rPh sb="1" eb="3">
      <t>コウジョウ</t>
    </rPh>
    <rPh sb="4" eb="6">
      <t>シャコ</t>
    </rPh>
    <rPh sb="7" eb="9">
      <t>ソウコ</t>
    </rPh>
    <rPh sb="10" eb="12">
      <t>カンラン</t>
    </rPh>
    <rPh sb="12" eb="13">
      <t>バ</t>
    </rPh>
    <rPh sb="14" eb="16">
      <t>オロシウリ</t>
    </rPh>
    <rPh sb="16" eb="18">
      <t>シジョウ</t>
    </rPh>
    <rPh sb="20" eb="23">
      <t>デンサンシツ</t>
    </rPh>
    <phoneticPr fontId="22"/>
  </si>
  <si>
    <t xml:space="preserve"> 病院、老人ホーム、身体障害者福祉ホームなど</t>
    <rPh sb="1" eb="3">
      <t>ビョウイン</t>
    </rPh>
    <rPh sb="4" eb="6">
      <t>ロウジン</t>
    </rPh>
    <rPh sb="10" eb="12">
      <t>シンタイ</t>
    </rPh>
    <rPh sb="12" eb="15">
      <t>ショウガイシャ</t>
    </rPh>
    <rPh sb="15" eb="17">
      <t>フクシ</t>
    </rPh>
    <phoneticPr fontId="22"/>
  </si>
  <si>
    <t xml:space="preserve"> ホテル、旅館など</t>
    <rPh sb="5" eb="7">
      <t>リョカン</t>
    </rPh>
    <phoneticPr fontId="22"/>
  </si>
  <si>
    <t>2.6</t>
    <phoneticPr fontId="22"/>
  </si>
  <si>
    <t>3.1</t>
    <phoneticPr fontId="22"/>
  </si>
  <si>
    <t>3.1</t>
    <phoneticPr fontId="22"/>
  </si>
  <si>
    <t>3.2</t>
    <phoneticPr fontId="22"/>
  </si>
  <si>
    <t>3.2.1</t>
    <phoneticPr fontId="22"/>
  </si>
  <si>
    <t>消火剤</t>
    <phoneticPr fontId="22"/>
  </si>
  <si>
    <t>3.2.2</t>
    <phoneticPr fontId="22"/>
  </si>
  <si>
    <t>発泡剤（断熱材等）</t>
    <phoneticPr fontId="22"/>
  </si>
  <si>
    <t>(blank star)</t>
    <phoneticPr fontId="22"/>
  </si>
  <si>
    <t>LCCO2(kg-CO2/ym2)</t>
    <phoneticPr fontId="22"/>
  </si>
  <si>
    <t>オンサイト</t>
    <phoneticPr fontId="22"/>
  </si>
  <si>
    <t>オフサイト</t>
    <phoneticPr fontId="22"/>
  </si>
  <si>
    <t>％</t>
    <phoneticPr fontId="22"/>
  </si>
  <si>
    <t>Sum</t>
    <phoneticPr fontId="22"/>
  </si>
  <si>
    <r>
      <t>2-4</t>
    </r>
    <r>
      <rPr>
        <b/>
        <sz val="12"/>
        <color indexed="9"/>
        <rFont val="ＭＳ Ｐゴシック"/>
        <family val="3"/>
        <charset val="128"/>
      </rPr>
      <t>　中項目の評価（バーチャート）</t>
    </r>
    <phoneticPr fontId="22"/>
  </si>
  <si>
    <t>Q-2 サービス性能</t>
    <phoneticPr fontId="22"/>
  </si>
  <si>
    <t>Score(RoundDown)</t>
    <phoneticPr fontId="22"/>
  </si>
  <si>
    <t>NA</t>
    <phoneticPr fontId="22"/>
  </si>
  <si>
    <t>まちなみ景観</t>
    <phoneticPr fontId="22"/>
  </si>
  <si>
    <r>
      <t>LR</t>
    </r>
    <r>
      <rPr>
        <b/>
        <sz val="11"/>
        <color indexed="42"/>
        <rFont val="ＭＳ Ｐゴシック"/>
        <family val="3"/>
        <charset val="128"/>
      </rPr>
      <t>　環境負荷低減性</t>
    </r>
    <phoneticPr fontId="22"/>
  </si>
  <si>
    <r>
      <t>LR</t>
    </r>
    <r>
      <rPr>
        <b/>
        <i/>
        <sz val="14"/>
        <color indexed="9"/>
        <rFont val="ＭＳ Ｐゴシック"/>
        <family val="3"/>
        <charset val="128"/>
      </rPr>
      <t>のスコア</t>
    </r>
    <r>
      <rPr>
        <b/>
        <i/>
        <sz val="14"/>
        <color indexed="9"/>
        <rFont val="Arial"/>
        <family val="2"/>
      </rPr>
      <t>=</t>
    </r>
    <phoneticPr fontId="22"/>
  </si>
  <si>
    <t>Score(RoundDown)</t>
    <phoneticPr fontId="22"/>
  </si>
  <si>
    <t>Score</t>
    <phoneticPr fontId="22"/>
  </si>
  <si>
    <t>LR-1 エネルギー</t>
    <phoneticPr fontId="22"/>
  </si>
  <si>
    <t>Score(RoundDown)</t>
    <phoneticPr fontId="22"/>
  </si>
  <si>
    <t>NA</t>
    <phoneticPr fontId="22"/>
  </si>
  <si>
    <t>集成材</t>
    <rPh sb="0" eb="3">
      <t>シュウセイザイ</t>
    </rPh>
    <phoneticPr fontId="22"/>
  </si>
  <si>
    <t>鉄鋼スラグ混入路盤材</t>
    <rPh sb="0" eb="2">
      <t>テッコウ</t>
    </rPh>
    <rPh sb="5" eb="7">
      <t>コンニュウ</t>
    </rPh>
    <rPh sb="7" eb="10">
      <t>ロバンザイ</t>
    </rPh>
    <phoneticPr fontId="22"/>
  </si>
  <si>
    <t>木質系セメント板</t>
    <rPh sb="0" eb="2">
      <t>モクシツ</t>
    </rPh>
    <rPh sb="2" eb="3">
      <t>ケイ</t>
    </rPh>
    <rPh sb="7" eb="8">
      <t>イタ</t>
    </rPh>
    <phoneticPr fontId="22"/>
  </si>
  <si>
    <t>タイル</t>
  </si>
  <si>
    <t>れんが</t>
  </si>
  <si>
    <t>ブロック</t>
  </si>
  <si>
    <r>
      <t>エコマークを取得した木材などを使用したボード（エコマーク商品類型</t>
    </r>
    <r>
      <rPr>
        <sz val="9"/>
        <rFont val="Arial"/>
        <family val="2"/>
      </rPr>
      <t>111</t>
    </r>
    <r>
      <rPr>
        <sz val="9"/>
        <rFont val="ＭＳ Ｐゴシック"/>
        <family val="3"/>
        <charset val="128"/>
      </rPr>
      <t>）</t>
    </r>
  </si>
  <si>
    <r>
      <t>エコマークを取得した間伐材、再・未利用材などを使用した製品（エコマーク商品類型</t>
    </r>
    <r>
      <rPr>
        <sz val="9"/>
        <rFont val="Arial"/>
        <family val="2"/>
      </rPr>
      <t>115</t>
    </r>
    <r>
      <rPr>
        <sz val="9"/>
        <rFont val="ＭＳ Ｐゴシック"/>
        <family val="3"/>
        <charset val="128"/>
      </rPr>
      <t>）</t>
    </r>
  </si>
  <si>
    <t>屋外用品（土木建築用品：小丸太）</t>
  </si>
  <si>
    <t>屋内用品（ドア）</t>
  </si>
  <si>
    <t>屋外用品（土木建築用品：集成材）</t>
  </si>
  <si>
    <t>屋外用品（土木建築用品：合板）</t>
  </si>
  <si>
    <t>屋外用品（エクステリア）</t>
  </si>
  <si>
    <t>屋内用品（床材）</t>
  </si>
  <si>
    <t>活性炭（調湿材）</t>
  </si>
  <si>
    <t>屋内用品（ふすま枠）</t>
  </si>
  <si>
    <r>
      <t>エコマークを取得した建築製品（内装工事関係用資材）（エコマーク商品類型</t>
    </r>
    <r>
      <rPr>
        <sz val="9"/>
        <rFont val="Arial"/>
        <family val="2"/>
      </rPr>
      <t>123</t>
    </r>
    <r>
      <rPr>
        <sz val="9"/>
        <rFont val="ＭＳ Ｐゴシック"/>
        <family val="3"/>
        <charset val="128"/>
      </rPr>
      <t>）</t>
    </r>
  </si>
  <si>
    <t>木質フローリング</t>
  </si>
  <si>
    <t>断熱材</t>
  </si>
  <si>
    <t>障子・襖</t>
  </si>
  <si>
    <t>吸音材料・防音防振マット</t>
  </si>
  <si>
    <t>障子紙・襖紙</t>
  </si>
  <si>
    <t>ビニル床材</t>
  </si>
  <si>
    <t>ボード</t>
  </si>
  <si>
    <t>階段滑り止め</t>
  </si>
  <si>
    <t>畳</t>
  </si>
  <si>
    <t>点字鋲</t>
  </si>
  <si>
    <t>アコーディオンドア</t>
  </si>
  <si>
    <r>
      <t>エコマークを取得した建築製品（外装、外溝関係用資材）（エコマーク商品類型</t>
    </r>
    <r>
      <rPr>
        <sz val="9"/>
        <rFont val="Arial"/>
        <family val="2"/>
      </rPr>
      <t>137</t>
    </r>
    <r>
      <rPr>
        <sz val="9"/>
        <rFont val="ＭＳ Ｐゴシック"/>
        <family val="3"/>
        <charset val="128"/>
      </rPr>
      <t>）</t>
    </r>
  </si>
  <si>
    <t>ルーフィング</t>
  </si>
  <si>
    <t>プラスチックデッキ材</t>
  </si>
  <si>
    <t>屋根材</t>
  </si>
  <si>
    <t>木材・プラスチック再生複合</t>
  </si>
  <si>
    <t>外装材</t>
  </si>
  <si>
    <r>
      <t>エコマークを取得した建築製品（材料系の資材）（エコマーク商品類型</t>
    </r>
    <r>
      <rPr>
        <sz val="9"/>
        <rFont val="Arial"/>
        <family val="2"/>
      </rPr>
      <t>138</t>
    </r>
    <r>
      <rPr>
        <sz val="9"/>
        <rFont val="ＭＳ Ｐゴシック"/>
        <family val="3"/>
        <charset val="128"/>
      </rPr>
      <t>）</t>
    </r>
  </si>
  <si>
    <t>建築用石材</t>
  </si>
  <si>
    <t>宅地ます</t>
  </si>
  <si>
    <t>排水・通気用硬質ポリ塩化ビニル管</t>
  </si>
  <si>
    <t>持続可能な森林から産出された木材</t>
    <rPh sb="0" eb="2">
      <t>ジゾク</t>
    </rPh>
    <rPh sb="2" eb="4">
      <t>カノウ</t>
    </rPh>
    <rPh sb="5" eb="7">
      <t>シンリン</t>
    </rPh>
    <rPh sb="9" eb="11">
      <t>サンシュツ</t>
    </rPh>
    <rPh sb="14" eb="16">
      <t>モクザイ</t>
    </rPh>
    <phoneticPr fontId="22"/>
  </si>
  <si>
    <t>持続可能な森林から産出された木材の使用比率が10％以上50％未満。</t>
  </si>
  <si>
    <t>持続可能な森林から産出された木材の使用比率が50％以上。</t>
  </si>
  <si>
    <t>部材の再利用可能性向上への取組み</t>
    <rPh sb="0" eb="2">
      <t>ブザイ</t>
    </rPh>
    <rPh sb="3" eb="11">
      <t>サイリヨウカノウセイコウジョウ</t>
    </rPh>
    <rPh sb="13" eb="15">
      <t>トリク</t>
    </rPh>
    <phoneticPr fontId="22"/>
  </si>
  <si>
    <t>解体時におけるリサイクルを促進する対策として、評価する取組みをひとつも行っていない。</t>
  </si>
  <si>
    <t>解体時におけるリサイクルを促進する対策として、評価する取組みを1ポイント以上実施している。</t>
  </si>
  <si>
    <t>解体時におけるリサイクルを促進する対策として、評価する取組みを2ポイント以上実施している。</t>
  </si>
  <si>
    <t>躯体と仕上げ材が容易に分別可能となっている</t>
  </si>
  <si>
    <t>学(小中高)・住</t>
    <rPh sb="0" eb="1">
      <t>ガク</t>
    </rPh>
    <rPh sb="2" eb="3">
      <t>ショウ</t>
    </rPh>
    <rPh sb="3" eb="4">
      <t>チュウ</t>
    </rPh>
    <rPh sb="4" eb="5">
      <t>コウ</t>
    </rPh>
    <rPh sb="7" eb="8">
      <t>ジュウ</t>
    </rPh>
    <phoneticPr fontId="22"/>
  </si>
  <si>
    <t>レベル３に対する、採光・通風が行えない。</t>
    <rPh sb="5" eb="6">
      <t>タイ</t>
    </rPh>
    <phoneticPr fontId="22"/>
  </si>
  <si>
    <t>建物全体・共用部分</t>
    <phoneticPr fontId="22"/>
  </si>
  <si>
    <t>学（小中高）</t>
    <phoneticPr fontId="22"/>
  </si>
  <si>
    <t>ホルムアルデヒド濃度が75μg/m3以下。
かつ、トルエン濃度が195μg/m3以下。</t>
    <phoneticPr fontId="22"/>
  </si>
  <si>
    <t>建築基準法を満たしており、かつ建築基準法規制対象外となる建築材料（告示対象外の建材およびJIS・JAS規格のＦ☆☆☆☆）をほぼ全面的（床・壁・天井・天井裏の面積の合計の70％以上の面積）に採用している。</t>
    <phoneticPr fontId="22"/>
  </si>
  <si>
    <t>建築基準法を満たしており、かつ建築基準法規制対象外となる建築材料（告示対象外の建材およびJIS・JAS規格のＦ☆☆☆☆）をほぼ全面的（床・壁・天井・天井裏の面積の合計の90％以上の面積）に採用している。さらに、ホルムアルデヒド以外のVOCについても放散量が少ない建材を全面的に採用している。</t>
    <phoneticPr fontId="22"/>
  </si>
  <si>
    <t xml:space="preserve">ホルムアルデヒド濃度が50μg/m3以下。
かつ、トルエン濃度が130μg/m3以下。
</t>
    <phoneticPr fontId="22"/>
  </si>
  <si>
    <t>事・学・物・飲・会・病・ホ・工・住</t>
    <phoneticPr fontId="22"/>
  </si>
  <si>
    <t>昼光利用設備が２種類以上ある、または高度な機能を有する。</t>
    <phoneticPr fontId="22"/>
  </si>
  <si>
    <t>昼光利用設備がある。</t>
    <phoneticPr fontId="22"/>
  </si>
  <si>
    <t>建物全体・共用部分</t>
    <phoneticPr fontId="22"/>
  </si>
  <si>
    <t>-</t>
    <phoneticPr fontId="22"/>
  </si>
  <si>
    <t>水平方向から見て光源が露出せずグレアを制限している器具。G2分類の器具。</t>
    <phoneticPr fontId="22"/>
  </si>
  <si>
    <t>反射板形状の工夫、ルーバー・透光性カバーなどにより十分にグレアを制限している器具。G1、G0、V分類の器具。</t>
    <phoneticPr fontId="22"/>
  </si>
  <si>
    <t>何もない。</t>
    <phoneticPr fontId="22"/>
  </si>
  <si>
    <t>スクリーン、オーニング、庇によりグレアを制御。</t>
    <phoneticPr fontId="22"/>
  </si>
  <si>
    <t>ブラインドによりグレアを制御、もしくはスクリーン、オーニング、庇のうち2種類を組み合わせてグレアを制御。</t>
    <phoneticPr fontId="22"/>
  </si>
  <si>
    <t>カーテン、スクリーン、オーニング、庇によりグレアを制御。</t>
    <phoneticPr fontId="22"/>
  </si>
  <si>
    <t>ブラインドに、スクリーン、オーニング、庇のうち１種類以上を組合せてグレアを制御。</t>
    <phoneticPr fontId="22"/>
  </si>
  <si>
    <t>ブラインドによりグレアを制御、もしくはカーテン、スクリーン、オーニング、庇のうち、２種類以上を組み合わせて制御。</t>
    <phoneticPr fontId="22"/>
  </si>
  <si>
    <t>ブラインドに、カーテン、スクリーン、オーニング、庇のうち、１種類以上を組み合わせて制御。</t>
    <phoneticPr fontId="22"/>
  </si>
  <si>
    <t>レベル３を満たさない。</t>
    <phoneticPr fontId="22"/>
  </si>
  <si>
    <t>教室内で視界に見え方を妨害するような「まぶしさ」を感じさせる強い光源がないこと。
（解説（ア）～（ウ））</t>
    <phoneticPr fontId="22"/>
  </si>
  <si>
    <t>レベル３を満たし、かつ、カーテンを使用する、などの運用面の取り組みを行っている。</t>
    <phoneticPr fontId="22"/>
  </si>
  <si>
    <t>判定基準</t>
    <phoneticPr fontId="22"/>
  </si>
  <si>
    <t>建物全体・共用部分</t>
    <phoneticPr fontId="22"/>
  </si>
  <si>
    <t>学</t>
    <phoneticPr fontId="22"/>
  </si>
  <si>
    <t>病(待)</t>
    <phoneticPr fontId="22"/>
  </si>
  <si>
    <t>ホ</t>
    <phoneticPr fontId="22"/>
  </si>
  <si>
    <t>病</t>
    <phoneticPr fontId="22"/>
  </si>
  <si>
    <t>予備スリーブを用いれば構造部材を痛めることなく空調配管の更新・修繕ができる場合もあるが全ての配管の更新・修繕には対応できない。</t>
  </si>
  <si>
    <t>構造部材を痛めることなく修繕できるが、更新できない。</t>
  </si>
  <si>
    <t>構造部材、仕上げ材を痛めることなく修繕できるが、仕上げ材、構造部材を痛めないと更新できない。</t>
  </si>
  <si>
    <t>外部空調配管、天井スペースが確保されることによって、構造部材だけでなく仕上げ材を痛めることなく空調配管の更新・修繕ができる。</t>
  </si>
  <si>
    <t>構造部材を痛めることなく修繕、更新できる。</t>
  </si>
  <si>
    <r>
      <t xml:space="preserve">3.3.3 </t>
    </r>
    <r>
      <rPr>
        <b/>
        <sz val="10"/>
        <rFont val="ＭＳ Ｐゴシック"/>
        <family val="3"/>
        <charset val="128"/>
      </rPr>
      <t>電気配線の更新性</t>
    </r>
    <rPh sb="6" eb="8">
      <t>デンキ</t>
    </rPh>
    <rPh sb="8" eb="10">
      <t>ハイセン</t>
    </rPh>
    <rPh sb="11" eb="13">
      <t>コウシン</t>
    </rPh>
    <rPh sb="13" eb="14">
      <t>セイ</t>
    </rPh>
    <phoneticPr fontId="22"/>
  </si>
  <si>
    <t>構造部材を痛めなければ電気配線の更新・修繕ができない。</t>
  </si>
  <si>
    <t>構造部材を痛めなければ通信配線の更新・修繕ができない。</t>
  </si>
  <si>
    <t>構造部材だけでなく、仕上げ材を痛めることなく電気配線の更新・修繕ができる。</t>
  </si>
  <si>
    <t>仕上げ材を痛めることなく通信配線の更新・修繕ができる。</t>
  </si>
  <si>
    <r>
      <t xml:space="preserve">3.3.5 </t>
    </r>
    <r>
      <rPr>
        <b/>
        <sz val="10"/>
        <rFont val="ＭＳ Ｐゴシック"/>
        <family val="3"/>
        <charset val="128"/>
      </rPr>
      <t>設備機器の更新性</t>
    </r>
    <rPh sb="6" eb="8">
      <t>セツビ</t>
    </rPh>
    <rPh sb="8" eb="10">
      <t>キキ</t>
    </rPh>
    <rPh sb="11" eb="13">
      <t>コウシン</t>
    </rPh>
    <rPh sb="13" eb="14">
      <t>セイ</t>
    </rPh>
    <phoneticPr fontId="22"/>
  </si>
  <si>
    <r>
      <t xml:space="preserve">3.3.6 </t>
    </r>
    <r>
      <rPr>
        <b/>
        <sz val="10"/>
        <rFont val="ＭＳ Ｐゴシック"/>
        <family val="3"/>
        <charset val="128"/>
      </rPr>
      <t>バックアップスペースの確保</t>
    </r>
    <rPh sb="17" eb="19">
      <t>カクホ</t>
    </rPh>
    <phoneticPr fontId="22"/>
  </si>
  <si>
    <t>バックアップ設備のためのスペースが計画的に確保されていない。</t>
  </si>
  <si>
    <t>11年以上～20年未満</t>
  </si>
  <si>
    <t>屋外露出ダクト、厨房排気ダクト、高湿系排気ダクトなど亜鉛鉄板では耐用年数が一般空調換気と比較して短くなると考えられる系統にステンレスダクトやガルバリウムダクトなど長寿命化を図っている。または、内部結露水を適切に排水できるようにな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81" eb="82">
      <t>チョウ</t>
    </rPh>
    <rPh sb="82" eb="85">
      <t>ジュミョウカ</t>
    </rPh>
    <rPh sb="86" eb="87">
      <t>ハカ</t>
    </rPh>
    <rPh sb="96" eb="98">
      <t>ナイブ</t>
    </rPh>
    <rPh sb="98" eb="100">
      <t>ケツロ</t>
    </rPh>
    <rPh sb="100" eb="101">
      <t>スイ</t>
    </rPh>
    <rPh sb="102" eb="104">
      <t>テキセツ</t>
    </rPh>
    <rPh sb="105" eb="107">
      <t>ハイスイ</t>
    </rPh>
    <phoneticPr fontId="22"/>
  </si>
  <si>
    <t>25年以上</t>
  </si>
  <si>
    <t>屋外露出ダクト、厨房排気ダクト、高湿系排気ダクトなど亜鉛鉄板では耐用年数が一般空調換気と比較して短くなると考えられる系統の90％以上の範囲にステンレスダクトやガルバリウムダクトなど長寿命化を図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64" eb="66">
      <t>イジョウ</t>
    </rPh>
    <rPh sb="67" eb="69">
      <t>ハンイ</t>
    </rPh>
    <rPh sb="90" eb="91">
      <t>チョウ</t>
    </rPh>
    <rPh sb="91" eb="94">
      <t>ジュミョウカ</t>
    </rPh>
    <rPh sb="95" eb="96">
      <t>ハカ</t>
    </rPh>
    <phoneticPr fontId="22"/>
  </si>
  <si>
    <r>
      <t>*1</t>
    </r>
    <r>
      <rPr>
        <sz val="8"/>
        <rFont val="ＭＳ Ｐゴシック"/>
        <family val="3"/>
        <charset val="128"/>
      </rPr>
      <t xml:space="preserve">）規制基準は現行の値とし、現行基準以前に設置された施設についても現行の基準で評価する（昼間、朝・夕、夜間とも）。
</t>
    </r>
    <r>
      <rPr>
        <sz val="8"/>
        <rFont val="Arial"/>
        <family val="2"/>
      </rPr>
      <t>*2)</t>
    </r>
    <r>
      <rPr>
        <sz val="8"/>
        <rFont val="ＭＳ Ｐゴシック"/>
        <family val="3"/>
        <charset val="128"/>
      </rPr>
      <t>レベル５については、</t>
    </r>
    <r>
      <rPr>
        <sz val="8"/>
        <rFont val="Arial"/>
        <family val="2"/>
      </rPr>
      <t>[</t>
    </r>
    <r>
      <rPr>
        <sz val="8"/>
        <rFont val="ＭＳ Ｐゴシック"/>
        <family val="3"/>
        <charset val="128"/>
      </rPr>
      <t>現行の基準値－</t>
    </r>
    <r>
      <rPr>
        <sz val="8"/>
        <rFont val="Arial"/>
        <family val="2"/>
      </rPr>
      <t>10dB]</t>
    </r>
    <r>
      <rPr>
        <sz val="8"/>
        <rFont val="ＭＳ Ｐゴシック"/>
        <family val="3"/>
        <charset val="128"/>
      </rPr>
      <t>以下に抑えられている場合とする（昼間、朝・夕、夜間とも）。</t>
    </r>
    <phoneticPr fontId="22"/>
  </si>
  <si>
    <t>昼間（am8時～pm7時）、朝・夕（am6時～am8時、pm7時～pm10時）、夜間（pm10時～翌朝6時）のいずれの計測時も下記を満たしていること</t>
    <phoneticPr fontId="22"/>
  </si>
  <si>
    <t>昼間</t>
    <phoneticPr fontId="22"/>
  </si>
  <si>
    <t>朝・夕</t>
    <phoneticPr fontId="22"/>
  </si>
  <si>
    <t>夜間</t>
    <phoneticPr fontId="22"/>
  </si>
  <si>
    <t>50dB以下</t>
    <phoneticPr fontId="22"/>
  </si>
  <si>
    <t>35dB以下</t>
    <phoneticPr fontId="22"/>
  </si>
  <si>
    <t>30dB以下</t>
    <phoneticPr fontId="22"/>
  </si>
  <si>
    <t>昼間</t>
    <phoneticPr fontId="22"/>
  </si>
  <si>
    <t>朝・夕</t>
    <phoneticPr fontId="22"/>
  </si>
  <si>
    <t>夜間</t>
    <phoneticPr fontId="22"/>
  </si>
  <si>
    <r>
      <t xml:space="preserve">3.1.2 </t>
    </r>
    <r>
      <rPr>
        <b/>
        <sz val="10"/>
        <rFont val="ＭＳ Ｐゴシック"/>
        <family val="3"/>
        <charset val="128"/>
      </rPr>
      <t>振動</t>
    </r>
    <phoneticPr fontId="22"/>
  </si>
  <si>
    <t>①光ケーブル、メタルケーブル、携帯電話網、PHS網など、通信手段の多様化を図っている。</t>
    <phoneticPr fontId="22"/>
  </si>
  <si>
    <t>②異なる電話局からの引き込みなどの、引き込みの2ルート化を図っている。</t>
    <phoneticPr fontId="22"/>
  </si>
  <si>
    <r>
      <t xml:space="preserve">3.1.1 </t>
    </r>
    <r>
      <rPr>
        <b/>
        <sz val="10"/>
        <rFont val="ＭＳ Ｐゴシック"/>
        <family val="3"/>
        <charset val="128"/>
      </rPr>
      <t>階高のゆとり</t>
    </r>
    <phoneticPr fontId="22"/>
  </si>
  <si>
    <t>病・ホ</t>
    <phoneticPr fontId="22"/>
  </si>
  <si>
    <t>住</t>
    <phoneticPr fontId="22"/>
  </si>
  <si>
    <t>3.3ｍ未満</t>
    <phoneticPr fontId="22"/>
  </si>
  <si>
    <t>3.1ｍ未満</t>
    <phoneticPr fontId="22"/>
  </si>
  <si>
    <t>2.7ｍ未満</t>
    <phoneticPr fontId="22"/>
  </si>
  <si>
    <t>3.3ｍ以上、3.5ｍ未満</t>
    <phoneticPr fontId="22"/>
  </si>
  <si>
    <t>3.1ｍ以上、3.3ｍ未満</t>
    <phoneticPr fontId="22"/>
  </si>
  <si>
    <t>3.5ｍ以上、3.7ｍ未満</t>
    <phoneticPr fontId="22"/>
  </si>
  <si>
    <t>2.8ｍ以上、2.9ｍ未満</t>
    <phoneticPr fontId="22"/>
  </si>
  <si>
    <t>3.7ｍ以上、3.9ｍ未満</t>
    <phoneticPr fontId="22"/>
  </si>
  <si>
    <t>3.9ｍ以上</t>
    <phoneticPr fontId="22"/>
  </si>
  <si>
    <t>3.7ｍ以上</t>
    <phoneticPr fontId="22"/>
  </si>
  <si>
    <t>3.0ｍ以上</t>
    <phoneticPr fontId="22"/>
  </si>
  <si>
    <r>
      <t xml:space="preserve">3.1.2 </t>
    </r>
    <r>
      <rPr>
        <b/>
        <sz val="10"/>
        <rFont val="ＭＳ Ｐゴシック"/>
        <family val="3"/>
        <charset val="128"/>
      </rPr>
      <t>空間の形状・自由さ</t>
    </r>
    <phoneticPr fontId="22"/>
  </si>
  <si>
    <t>建物全体・共用部分</t>
    <phoneticPr fontId="22"/>
  </si>
  <si>
    <t>設備システムの高効率化</t>
    <rPh sb="0" eb="2">
      <t>セツビ</t>
    </rPh>
    <rPh sb="7" eb="11">
      <t>コウコウリツカ</t>
    </rPh>
    <phoneticPr fontId="22"/>
  </si>
  <si>
    <t>各住戸または各客室に100Mbitクラスのブロードバンドが利用可能な環境が整備されていること。</t>
  </si>
  <si>
    <r>
      <t xml:space="preserve">1.1.3 </t>
    </r>
    <r>
      <rPr>
        <b/>
        <sz val="10"/>
        <rFont val="ＭＳ Ｐゴシック"/>
        <family val="3"/>
        <charset val="128"/>
      </rPr>
      <t>バリアフリー計画</t>
    </r>
    <rPh sb="12" eb="14">
      <t>ケイカク</t>
    </rPh>
    <phoneticPr fontId="22"/>
  </si>
  <si>
    <t>物・飲・会・病・ホ</t>
    <rPh sb="0" eb="1">
      <t>モノ</t>
    </rPh>
    <rPh sb="2" eb="3">
      <t>イン</t>
    </rPh>
    <rPh sb="4" eb="5">
      <t>カイ</t>
    </rPh>
    <rPh sb="6" eb="7">
      <t>ヤマイ</t>
    </rPh>
    <phoneticPr fontId="22"/>
  </si>
  <si>
    <t>事・学・工・住</t>
    <rPh sb="0" eb="1">
      <t>コト</t>
    </rPh>
    <rPh sb="2" eb="3">
      <t>ガク</t>
    </rPh>
    <phoneticPr fontId="22"/>
  </si>
  <si>
    <t>物・飲・会・病・ホ【&lt;2000㎡】</t>
    <rPh sb="0" eb="1">
      <t>モノ</t>
    </rPh>
    <rPh sb="2" eb="3">
      <t>イン</t>
    </rPh>
    <rPh sb="4" eb="5">
      <t>カイ</t>
    </rPh>
    <rPh sb="6" eb="7">
      <t>ヤマイ</t>
    </rPh>
    <phoneticPr fontId="22"/>
  </si>
  <si>
    <t>バリアフリー新法の建築物移動等円滑化基準項目の半分以上を満たしている。</t>
  </si>
  <si>
    <t>バリアフリー新法の建築物移動等円滑化基準（最低限のレベル）を満たしている。</t>
  </si>
  <si>
    <t>バリアフリー新法の建築物移動等円滑化誘導基準（望ましいレベル）を満たしている。</t>
  </si>
  <si>
    <t>心理性・快適性</t>
    <rPh sb="0" eb="2">
      <t>シンリ</t>
    </rPh>
    <rPh sb="2" eb="3">
      <t>セイ</t>
    </rPh>
    <rPh sb="4" eb="6">
      <t>カイテキ</t>
    </rPh>
    <rPh sb="6" eb="7">
      <t>セイ</t>
    </rPh>
    <phoneticPr fontId="22"/>
  </si>
  <si>
    <t>既存は事務所のみ評価</t>
    <rPh sb="0" eb="2">
      <t>キソン</t>
    </rPh>
    <rPh sb="3" eb="5">
      <t>ジム</t>
    </rPh>
    <rPh sb="5" eb="6">
      <t>ショ</t>
    </rPh>
    <rPh sb="8" eb="10">
      <t>ヒョウカ</t>
    </rPh>
    <phoneticPr fontId="22"/>
  </si>
  <si>
    <t>物・飲</t>
    <rPh sb="0" eb="1">
      <t>モノ</t>
    </rPh>
    <rPh sb="2" eb="3">
      <t>イン</t>
    </rPh>
    <phoneticPr fontId="22"/>
  </si>
  <si>
    <t>主要な用途上位3種の、2種類以上にB以上を使用し、Eは不使用。</t>
    <rPh sb="0" eb="2">
      <t>シュヨウ</t>
    </rPh>
    <rPh sb="3" eb="5">
      <t>ヨウト</t>
    </rPh>
    <rPh sb="5" eb="7">
      <t>ジョウイ</t>
    </rPh>
    <rPh sb="8" eb="9">
      <t>シュ</t>
    </rPh>
    <rPh sb="12" eb="16">
      <t>シュルイイジョウ</t>
    </rPh>
    <rPh sb="18" eb="20">
      <t>イジョウ</t>
    </rPh>
    <rPh sb="21" eb="23">
      <t>シヨウ</t>
    </rPh>
    <rPh sb="27" eb="30">
      <t>フシヨウ</t>
    </rPh>
    <phoneticPr fontId="22"/>
  </si>
  <si>
    <t>３０年以上</t>
  </si>
  <si>
    <t>＜評価しない＞</t>
    <rPh sb="1" eb="3">
      <t>ヒョウカ</t>
    </rPh>
    <phoneticPr fontId="22"/>
  </si>
  <si>
    <t>既存で評価</t>
    <rPh sb="0" eb="2">
      <t>キソン</t>
    </rPh>
    <rPh sb="3" eb="5">
      <t>ヒョウカ</t>
    </rPh>
    <phoneticPr fontId="22"/>
  </si>
  <si>
    <t>メンテナンス記録がなく判定不可能。</t>
  </si>
  <si>
    <t>全て耐用年数を超えている。</t>
  </si>
  <si>
    <t>全て耐用年数以内である。</t>
  </si>
  <si>
    <t>空調居住域の上下温度差、気流速度の目標値をおおよそ4℃以内、0.4m/s程度に設定している。トイレ・浴室などを含めた非空調部分でもスポット的空調対応が可能で、室間温度差を軽減することができる。</t>
    <phoneticPr fontId="22"/>
  </si>
  <si>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が採用されている。あるいは、その他の空調方式で、上下温度差および気流速度の目標値をおおよそ2℃以内、0.15m/s程度に設定している。</t>
    </r>
    <rPh sb="49" eb="50">
      <t>タ</t>
    </rPh>
    <rPh sb="51" eb="53">
      <t>クウチョウ</t>
    </rPh>
    <rPh sb="53" eb="55">
      <t>ホウシキ</t>
    </rPh>
    <phoneticPr fontId="22"/>
  </si>
  <si>
    <t>居住域の上下温度差や気流速度が少なくなるように配慮された空調方式＊が採用されている。上下温度差および気流速度の目標値をおおよそ2℃以内、0.15m/s程度に設定している。</t>
    <phoneticPr fontId="22"/>
  </si>
  <si>
    <t>空調居住域の上下温度差、気流速度の目標値をおおよそ2℃以内、0.2m/s程度に設定している。トイレ・浴室などを含めた全室が空調可能とし、室間温度差を無くすことができる。</t>
    <phoneticPr fontId="22"/>
  </si>
  <si>
    <t>＊　例えば、天井・床輻射冷暖房方式や床吹出し方式などを指す。</t>
    <phoneticPr fontId="22"/>
  </si>
  <si>
    <t>建物全体・共用部分</t>
    <phoneticPr fontId="22"/>
  </si>
  <si>
    <t>5℃＜ [上下温度差]</t>
    <phoneticPr fontId="22"/>
  </si>
  <si>
    <t>2℃＜ [上下温度差] ≦5℃</t>
    <phoneticPr fontId="22"/>
  </si>
  <si>
    <t>[昼光率] ＜0.5％</t>
    <phoneticPr fontId="22"/>
  </si>
  <si>
    <t>0.75％≦ [昼光率] ＜1.0％</t>
    <phoneticPr fontId="22"/>
  </si>
  <si>
    <t>集合住宅の評価</t>
    <rPh sb="0" eb="2">
      <t>シュウゴウ</t>
    </rPh>
    <rPh sb="2" eb="4">
      <t>ジュウタク</t>
    </rPh>
    <rPh sb="5" eb="7">
      <t>ヒョウカ</t>
    </rPh>
    <phoneticPr fontId="22"/>
  </si>
  <si>
    <t>LR2</t>
  </si>
  <si>
    <t>LR3</t>
  </si>
  <si>
    <t>〃</t>
  </si>
  <si>
    <t>代表的な資材の環境負荷</t>
    <rPh sb="0" eb="3">
      <t>ダイヒョウテキ</t>
    </rPh>
    <rPh sb="4" eb="6">
      <t>シザイ</t>
    </rPh>
    <rPh sb="7" eb="9">
      <t>カンキョウ</t>
    </rPh>
    <rPh sb="9" eb="11">
      <t>フカ</t>
    </rPh>
    <phoneticPr fontId="22"/>
  </si>
  <si>
    <t>建設
段階</t>
    <rPh sb="0" eb="2">
      <t>ケンセツ</t>
    </rPh>
    <rPh sb="3" eb="5">
      <t>ダンカイ</t>
    </rPh>
    <phoneticPr fontId="22"/>
  </si>
  <si>
    <r>
      <t>エンボディドCO</t>
    </r>
    <r>
      <rPr>
        <vertAlign val="subscript"/>
        <sz val="10"/>
        <rFont val="ＭＳ Ｐゴシック"/>
        <family val="3"/>
        <charset val="128"/>
      </rPr>
      <t>2</t>
    </r>
    <r>
      <rPr>
        <sz val="10"/>
        <rFont val="ＭＳ Ｐゴシック"/>
        <family val="3"/>
        <charset val="128"/>
      </rPr>
      <t>の
算定方法</t>
    </r>
    <rPh sb="11" eb="13">
      <t>サンテイ</t>
    </rPh>
    <rPh sb="13" eb="15">
      <t>ホウホウ</t>
    </rPh>
    <phoneticPr fontId="22"/>
  </si>
  <si>
    <t>左記からの、リサイクル建材の採用による削減量を推定して算定</t>
    <rPh sb="0" eb="2">
      <t>サキ</t>
    </rPh>
    <rPh sb="11" eb="13">
      <t>ケンザイ</t>
    </rPh>
    <rPh sb="14" eb="16">
      <t>サイヨウ</t>
    </rPh>
    <rPh sb="19" eb="21">
      <t>サクゲン</t>
    </rPh>
    <rPh sb="21" eb="22">
      <t>リョウ</t>
    </rPh>
    <rPh sb="23" eb="25">
      <t>スイテイ</t>
    </rPh>
    <rPh sb="27" eb="29">
      <t>サンテイ</t>
    </rPh>
    <phoneticPr fontId="22"/>
  </si>
  <si>
    <r>
      <t>CO</t>
    </r>
    <r>
      <rPr>
        <vertAlign val="subscript"/>
        <sz val="10"/>
        <rFont val="ＭＳ Ｐゴシック"/>
        <family val="3"/>
        <charset val="128"/>
      </rPr>
      <t>2</t>
    </r>
    <r>
      <rPr>
        <sz val="10"/>
        <rFont val="ＭＳ Ｐゴシック"/>
        <family val="3"/>
        <charset val="128"/>
      </rPr>
      <t>排出量原単位の
出典</t>
    </r>
    <rPh sb="3" eb="5">
      <t>ハイシュツ</t>
    </rPh>
    <rPh sb="5" eb="6">
      <t>リョウ</t>
    </rPh>
    <rPh sb="6" eb="9">
      <t>ゲンタンイ</t>
    </rPh>
    <rPh sb="11" eb="13">
      <t>シュッテン</t>
    </rPh>
    <phoneticPr fontId="22"/>
  </si>
  <si>
    <t>住まい方の提示</t>
    <rPh sb="5" eb="7">
      <t>テイジ</t>
    </rPh>
    <phoneticPr fontId="4"/>
  </si>
  <si>
    <t>エネルギーの管理と制御</t>
  </si>
  <si>
    <t>取組みなし。</t>
  </si>
  <si>
    <t>設備毎の取扱説明書が居住者に手渡されている。</t>
  </si>
  <si>
    <t>レベル３に加え、省エネに関する住まい方について一般的な説明がすまい手になされている。</t>
    <rPh sb="5" eb="6">
      <t>クワ</t>
    </rPh>
    <phoneticPr fontId="22"/>
  </si>
  <si>
    <t>レベル３に加え、当該住宅に採用された設備や仕様に関して、個別の建物・生活スタイルごとに対応した適切な説明がすまい手になされている。</t>
    <rPh sb="5" eb="6">
      <t>クワ</t>
    </rPh>
    <phoneticPr fontId="22"/>
  </si>
  <si>
    <t>4.1.1</t>
    <phoneticPr fontId="22"/>
  </si>
  <si>
    <t>4.1.2</t>
    <phoneticPr fontId="22"/>
  </si>
  <si>
    <t>4.2.1</t>
    <phoneticPr fontId="22"/>
  </si>
  <si>
    <t>4.2.2</t>
    <phoneticPr fontId="22"/>
  </si>
  <si>
    <t>LR1 4.1</t>
    <phoneticPr fontId="22"/>
  </si>
  <si>
    <t>LR1 4.1</t>
    <phoneticPr fontId="22"/>
  </si>
  <si>
    <t>LR1 4.2</t>
    <phoneticPr fontId="22"/>
  </si>
  <si>
    <t>住宅以外の評価</t>
    <rPh sb="0" eb="2">
      <t>じゅうたく</t>
    </rPh>
    <rPh sb="2" eb="4">
      <t>いがい</t>
    </rPh>
    <rPh sb="5" eb="7">
      <t>ひょうか</t>
    </rPh>
    <phoneticPr fontId="35" type="noConversion"/>
  </si>
  <si>
    <t>住宅の評価</t>
    <rPh sb="0" eb="2">
      <t>じゅうたく</t>
    </rPh>
    <rPh sb="3" eb="5">
      <t>ひょうか</t>
    </rPh>
    <phoneticPr fontId="35" type="noConversion"/>
  </si>
  <si>
    <t>躯体材料以外におけるリサイクル材の使用</t>
  </si>
  <si>
    <t>LPG</t>
  </si>
  <si>
    <t>LPG</t>
    <phoneticPr fontId="22"/>
  </si>
  <si>
    <t>⑩　天井隠蔽機器の点検口は600mm×600mm以上としている。</t>
    <phoneticPr fontId="22"/>
  </si>
  <si>
    <t>⑫　専用部以外の諸設備は共用部での維持管理作業が可能となっている。</t>
    <phoneticPr fontId="22"/>
  </si>
  <si>
    <t>⑪　専用部以外の諸設備は共用部での維持管理作業が可能となっている。</t>
    <phoneticPr fontId="22"/>
  </si>
  <si>
    <t>⑬　上記以外に維持管理用機能の確保を考慮したポイントを明確にし、実施している。</t>
    <phoneticPr fontId="22"/>
  </si>
  <si>
    <t>⑫　上記以外に維持管理用機能の確保を考慮したポイントを明確にし、実施している。</t>
    <phoneticPr fontId="22"/>
  </si>
  <si>
    <t>（１）</t>
    <phoneticPr fontId="2"/>
  </si>
  <si>
    <t>（２）</t>
    <phoneticPr fontId="2"/>
  </si>
  <si>
    <t>（３）</t>
    <phoneticPr fontId="2"/>
  </si>
  <si>
    <t>ポイント</t>
    <phoneticPr fontId="22"/>
  </si>
  <si>
    <t>空調管理は何も実施していない。</t>
    <phoneticPr fontId="22"/>
  </si>
  <si>
    <t>-1（レベル2）</t>
    <phoneticPr fontId="22"/>
  </si>
  <si>
    <t>延床面積比率</t>
    <rPh sb="0" eb="4">
      <t>ノベユカメンセキ</t>
    </rPh>
    <rPh sb="4" eb="6">
      <t>ヒリツ</t>
    </rPh>
    <phoneticPr fontId="22"/>
  </si>
  <si>
    <t>ﾚﾍﾞﾙ３</t>
  </si>
  <si>
    <t>ﾚﾍﾞﾙ４</t>
  </si>
  <si>
    <t>ﾚﾍﾞﾙ５</t>
  </si>
  <si>
    <t>同一フロアで、売り場・テナント用に細かくゾーニングがなされており、それを細かく監視するために制御センサとは別に複数の監視・計測用センサがある監視システムが設置されている。</t>
    <phoneticPr fontId="22"/>
  </si>
  <si>
    <t>建物全体・共用部分</t>
    <phoneticPr fontId="22"/>
  </si>
  <si>
    <t>住</t>
    <phoneticPr fontId="22"/>
  </si>
  <si>
    <t>レベル３を満たさない。</t>
    <phoneticPr fontId="22"/>
  </si>
  <si>
    <t>加湿機能を有し、かつ一般的な冬期40％、夏期50％の設定で計画されている。</t>
    <phoneticPr fontId="22"/>
  </si>
  <si>
    <t>加湿機能を有し、かつ一般的な冬期40～70％、夏期50～65％。の範囲で計画されている。　　　　　　　　　　</t>
    <phoneticPr fontId="22"/>
  </si>
  <si>
    <t>評価する取組み表の評価ポイントの合計値が1ポイント</t>
    <phoneticPr fontId="22"/>
  </si>
  <si>
    <t>評価する取組み表の評価ポイントの合計値が2ポイント</t>
    <phoneticPr fontId="22"/>
  </si>
  <si>
    <t>評価する取組み表の評価ポイントの合計値が3ポイント</t>
    <phoneticPr fontId="22"/>
  </si>
  <si>
    <t>評価する取組み表の評価ポイントの合計値が4ポイント以上</t>
    <phoneticPr fontId="22"/>
  </si>
  <si>
    <t>I 自転車の利用（代替交通手段の利用）に関する取組み</t>
    <phoneticPr fontId="22"/>
  </si>
  <si>
    <t>1) 建物利用者のための適切な量の自転車置場（バイク置場を含む）の確保、駐輪場利用者の利便性への配慮（出し入れし易さ、利用し易い位置にあるなど）</t>
    <phoneticPr fontId="22"/>
  </si>
  <si>
    <t>2) その他（記述）</t>
    <phoneticPr fontId="22"/>
  </si>
  <si>
    <t>II 駐車場の確保に関する取組み</t>
    <phoneticPr fontId="22"/>
  </si>
  <si>
    <t>1) 適切な量の駐車スペースの確保（周辺道路に渋滞や路上駐車などを発生させないための措置として）</t>
    <phoneticPr fontId="22"/>
  </si>
  <si>
    <t>2) 管理用車両や荷捌き用車両の駐車施設の確保</t>
    <rPh sb="3" eb="6">
      <t>カンリヨウ</t>
    </rPh>
    <rPh sb="6" eb="8">
      <t>シャリョウ</t>
    </rPh>
    <phoneticPr fontId="22"/>
  </si>
  <si>
    <t>3) 駐車場の導入路（出入り口など）の位置や形状・数への配慮（周辺道路の渋滞緩和に資するもの）</t>
    <phoneticPr fontId="22"/>
  </si>
  <si>
    <t>4) その他（記述）</t>
    <phoneticPr fontId="22"/>
  </si>
  <si>
    <t>評価する取組み表の評価ポイントの合計値が1ポイント以下</t>
    <phoneticPr fontId="22"/>
  </si>
  <si>
    <t>評価する取組み表の評価ポイントの合計値が0ポイント</t>
    <phoneticPr fontId="22"/>
  </si>
  <si>
    <t>評価する取組み表の評価ポイントの合計値が2ポイント</t>
    <phoneticPr fontId="22"/>
  </si>
  <si>
    <t>評価する取組み表の評価ポイントの合計値が1ポイント</t>
    <phoneticPr fontId="22"/>
  </si>
  <si>
    <t>室内空調機からの騒音</t>
    <rPh sb="8" eb="10">
      <t>ソウオン</t>
    </rPh>
    <phoneticPr fontId="22"/>
  </si>
  <si>
    <t>防音カバー、位置など</t>
  </si>
  <si>
    <t>主要な用途上位3種の、2種類以上にC以上を使用</t>
    <rPh sb="0" eb="2">
      <t>シュヨウ</t>
    </rPh>
    <rPh sb="3" eb="5">
      <t>ヨウト</t>
    </rPh>
    <rPh sb="5" eb="7">
      <t>ジョウイ</t>
    </rPh>
    <rPh sb="8" eb="9">
      <t>シュ</t>
    </rPh>
    <rPh sb="12" eb="16">
      <t>シュルイイジョウ</t>
    </rPh>
    <rPh sb="18" eb="20">
      <t>イジョウ</t>
    </rPh>
    <rPh sb="21" eb="23">
      <t>シヨウ</t>
    </rPh>
    <phoneticPr fontId="22"/>
  </si>
  <si>
    <t>１６年以上～３０年未満</t>
  </si>
  <si>
    <t>外気がレタンと混合されず、各室の必要外気量が直接各室に供給されている等、各室の負荷条件によらず、必要な場所に必要な外気量が保証されるシステムとなっている。</t>
    <phoneticPr fontId="22"/>
  </si>
  <si>
    <r>
      <t>4.3.1 CO</t>
    </r>
    <r>
      <rPr>
        <b/>
        <vertAlign val="subscript"/>
        <sz val="10"/>
        <rFont val="Arial"/>
        <family val="2"/>
      </rPr>
      <t>2</t>
    </r>
    <r>
      <rPr>
        <b/>
        <sz val="10"/>
        <rFont val="ＭＳ Ｐゴシック"/>
        <family val="3"/>
        <charset val="128"/>
      </rPr>
      <t>の監視</t>
    </r>
    <rPh sb="10" eb="12">
      <t>カンシ</t>
    </rPh>
    <phoneticPr fontId="22"/>
  </si>
  <si>
    <t>建物全体・共用部分</t>
    <phoneticPr fontId="22"/>
  </si>
  <si>
    <r>
      <t>CO</t>
    </r>
    <r>
      <rPr>
        <vertAlign val="subscript"/>
        <sz val="9"/>
        <rFont val="ＭＳ Ｐゴシック"/>
        <family val="3"/>
        <charset val="128"/>
      </rPr>
      <t>2</t>
    </r>
    <r>
      <rPr>
        <sz val="9"/>
        <rFont val="ＭＳ Ｐゴシック"/>
        <family val="3"/>
        <charset val="128"/>
      </rPr>
      <t>監視が中央で常時行えるシステムとなっている。かつ、空気質を適正に維持するための管理マニュアル等が整備されており、有効に機能している。</t>
    </r>
    <phoneticPr fontId="22"/>
  </si>
  <si>
    <r>
      <t>Q2</t>
    </r>
    <r>
      <rPr>
        <b/>
        <sz val="14"/>
        <rFont val="ＭＳ Ｐゴシック"/>
        <family val="3"/>
        <charset val="128"/>
      </rPr>
      <t>　サービス性能</t>
    </r>
    <rPh sb="7" eb="9">
      <t>セイノウ</t>
    </rPh>
    <phoneticPr fontId="22"/>
  </si>
  <si>
    <t>はい</t>
    <phoneticPr fontId="22"/>
  </si>
  <si>
    <t>いいえ</t>
    <phoneticPr fontId="22"/>
  </si>
  <si>
    <t>ホ</t>
    <phoneticPr fontId="22"/>
  </si>
  <si>
    <t>　レベル　1</t>
    <phoneticPr fontId="22"/>
  </si>
  <si>
    <t>若干の対策を行っている（評価する取組みにおいて2項目以上を採用）</t>
  </si>
  <si>
    <t>対策を行っている（評価する取組みにおいて4項目以上を採用）</t>
  </si>
  <si>
    <t>対策を行っている（評価する取組みにおいて2～3項目以上を採用）</t>
  </si>
  <si>
    <t>やや高度な対策を行っている（評価する取組みにおいて6項目以上を採用）</t>
  </si>
  <si>
    <t>高度な対策を行っている（評価する取組みにおいて全ての項目を採用）</t>
  </si>
  <si>
    <t>A.住宅以外の建築物における設備騒音対策の評価する取組み</t>
    <rPh sb="2" eb="4">
      <t>ジュウタク</t>
    </rPh>
    <rPh sb="4" eb="6">
      <t>イガイ</t>
    </rPh>
    <rPh sb="7" eb="10">
      <t>ケンチクブツ</t>
    </rPh>
    <rPh sb="14" eb="16">
      <t>セツビ</t>
    </rPh>
    <rPh sb="16" eb="18">
      <t>ソウオン</t>
    </rPh>
    <rPh sb="18" eb="20">
      <t>タイサク</t>
    </rPh>
    <rPh sb="21" eb="23">
      <t>ヒョウカ</t>
    </rPh>
    <rPh sb="25" eb="26">
      <t>ト</t>
    </rPh>
    <rPh sb="26" eb="27">
      <t>ク</t>
    </rPh>
    <phoneticPr fontId="22"/>
  </si>
  <si>
    <t>2,000㎡未満の基準で評価する。</t>
    <rPh sb="6" eb="8">
      <t>ミマン</t>
    </rPh>
    <rPh sb="9" eb="11">
      <t>キジュン</t>
    </rPh>
    <rPh sb="12" eb="14">
      <t>ヒョウカ</t>
    </rPh>
    <phoneticPr fontId="22"/>
  </si>
  <si>
    <t>評価対象外</t>
    <rPh sb="0" eb="2">
      <t>ヒョウカ</t>
    </rPh>
    <rPh sb="2" eb="4">
      <t>タイショウ</t>
    </rPh>
    <rPh sb="4" eb="5">
      <t>ガイ</t>
    </rPh>
    <phoneticPr fontId="22"/>
  </si>
  <si>
    <t>■レベル　1</t>
    <phoneticPr fontId="22"/>
  </si>
  <si>
    <t>レベル</t>
    <phoneticPr fontId="22"/>
  </si>
  <si>
    <t>ビル用マルチCOP評価</t>
  </si>
  <si>
    <t>個別分散空調システムの効率評価</t>
  </si>
  <si>
    <t>変風量制御の評価</t>
  </si>
  <si>
    <t>各種制御の評価</t>
  </si>
  <si>
    <t>昼光利用、人感センサーなどによる削減エネルギー量</t>
  </si>
  <si>
    <t>その他</t>
  </si>
  <si>
    <t>CGS評価</t>
  </si>
  <si>
    <t>各種連携制御</t>
    <rPh sb="0" eb="2">
      <t>カクシュ</t>
    </rPh>
    <rPh sb="2" eb="4">
      <t>レンケイ</t>
    </rPh>
    <rPh sb="4" eb="6">
      <t>セイギョ</t>
    </rPh>
    <phoneticPr fontId="22"/>
  </si>
  <si>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以上となっている。加えて、通信に関しては、ビル内へ光ファイバーが引き込まれている。</t>
    </r>
    <phoneticPr fontId="22"/>
  </si>
  <si>
    <t>居室面積の1/8以上の開閉可能な窓を確保している。</t>
  </si>
  <si>
    <t>3.2.3</t>
    <phoneticPr fontId="22"/>
  </si>
  <si>
    <t>LR3</t>
    <phoneticPr fontId="35" type="noConversion"/>
  </si>
  <si>
    <t>LR</t>
    <phoneticPr fontId="22"/>
  </si>
  <si>
    <t>敷地外環境</t>
    <phoneticPr fontId="22"/>
  </si>
  <si>
    <t>2.1</t>
    <phoneticPr fontId="22"/>
  </si>
  <si>
    <t>2.1</t>
    <phoneticPr fontId="22"/>
  </si>
  <si>
    <t>2.2</t>
    <phoneticPr fontId="22"/>
  </si>
  <si>
    <t>2.3</t>
    <phoneticPr fontId="22"/>
  </si>
  <si>
    <t>2.3</t>
    <phoneticPr fontId="22"/>
  </si>
  <si>
    <t>2.3.1</t>
    <phoneticPr fontId="22"/>
  </si>
  <si>
    <t>2.3.2</t>
    <phoneticPr fontId="22"/>
  </si>
  <si>
    <t>2.3.3</t>
    <phoneticPr fontId="22"/>
  </si>
  <si>
    <t>2.3.3</t>
    <phoneticPr fontId="22"/>
  </si>
  <si>
    <t>2.3.4</t>
    <phoneticPr fontId="22"/>
  </si>
  <si>
    <t>2.3.4</t>
    <phoneticPr fontId="22"/>
  </si>
  <si>
    <t>3.1</t>
    <phoneticPr fontId="22"/>
  </si>
  <si>
    <t>3.1</t>
    <phoneticPr fontId="22"/>
  </si>
  <si>
    <t>3.1.1</t>
    <phoneticPr fontId="22"/>
  </si>
  <si>
    <t>3.1.1</t>
    <phoneticPr fontId="22"/>
  </si>
  <si>
    <t>3.1.2</t>
    <phoneticPr fontId="22"/>
  </si>
  <si>
    <t>3.1.3</t>
    <phoneticPr fontId="22"/>
  </si>
  <si>
    <t>3.2</t>
    <phoneticPr fontId="22"/>
  </si>
  <si>
    <t>風害、日照阻害の抑制</t>
    <phoneticPr fontId="35" type="noConversion"/>
  </si>
  <si>
    <t>3.2.1</t>
    <phoneticPr fontId="22"/>
  </si>
  <si>
    <t>風害の抑制</t>
    <phoneticPr fontId="35" type="noConversion"/>
  </si>
  <si>
    <t>3.2.2</t>
    <phoneticPr fontId="22"/>
  </si>
  <si>
    <t>LR3 3.2</t>
    <phoneticPr fontId="22"/>
  </si>
  <si>
    <t>3.2.3</t>
    <phoneticPr fontId="22"/>
  </si>
  <si>
    <t>3.3</t>
    <phoneticPr fontId="22"/>
  </si>
  <si>
    <t>3.3.1</t>
    <phoneticPr fontId="22"/>
  </si>
  <si>
    <t>屋外照明及び屋内照明のうち外に漏れる光への対策</t>
    <phoneticPr fontId="35" type="noConversion"/>
  </si>
  <si>
    <t>レベル</t>
    <phoneticPr fontId="22"/>
  </si>
  <si>
    <t>２０</t>
    <phoneticPr fontId="22"/>
  </si>
  <si>
    <t>２５</t>
    <phoneticPr fontId="22"/>
  </si>
  <si>
    <t>３０</t>
    <phoneticPr fontId="22"/>
  </si>
  <si>
    <t>３５</t>
    <phoneticPr fontId="22"/>
  </si>
  <si>
    <t>４０</t>
    <phoneticPr fontId="22"/>
  </si>
  <si>
    <t>４５</t>
    <phoneticPr fontId="22"/>
  </si>
  <si>
    <t>５０</t>
    <phoneticPr fontId="22"/>
  </si>
  <si>
    <t>５５</t>
    <phoneticPr fontId="22"/>
  </si>
  <si>
    <t>６０</t>
    <phoneticPr fontId="22"/>
  </si>
  <si>
    <t>ＮＣ～ＮＲ</t>
    <phoneticPr fontId="22"/>
  </si>
  <si>
    <t>１０～１５</t>
    <phoneticPr fontId="22"/>
  </si>
  <si>
    <t>１５～２０</t>
    <phoneticPr fontId="22"/>
  </si>
  <si>
    <t>２０～２５</t>
    <phoneticPr fontId="22"/>
  </si>
  <si>
    <t xml:space="preserve"> 小学校、中学校、高等学校、大学、高等専門学校、専修学校、各種学校 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2"/>
  </si>
  <si>
    <t>維持管理に配慮した設計において、充実した取り組みにおいて該当する項目数が行われている。（評価する取組みが 9～）</t>
    <rPh sb="0" eb="2">
      <t>イジ</t>
    </rPh>
    <rPh sb="2" eb="4">
      <t>カンリ</t>
    </rPh>
    <rPh sb="5" eb="7">
      <t>ハイリョ</t>
    </rPh>
    <rPh sb="9" eb="11">
      <t>セッケイ</t>
    </rPh>
    <rPh sb="16" eb="18">
      <t>ジュウジツ</t>
    </rPh>
    <rPh sb="20" eb="21">
      <t>ト</t>
    </rPh>
    <rPh sb="22" eb="23">
      <t>ク</t>
    </rPh>
    <rPh sb="36" eb="37">
      <t>オコナ</t>
    </rPh>
    <rPh sb="44" eb="46">
      <t>ヒョウカ</t>
    </rPh>
    <rPh sb="48" eb="50">
      <t>トリク</t>
    </rPh>
    <phoneticPr fontId="22"/>
  </si>
  <si>
    <t>評価内容</t>
    <rPh sb="0" eb="2">
      <t>ヒョウカ</t>
    </rPh>
    <rPh sb="2" eb="4">
      <t>ナイヨウ</t>
    </rPh>
    <phoneticPr fontId="22"/>
  </si>
  <si>
    <t>②　内装仕上げ：床面は防汚性の高い建材、塗装、コーティングを採用している。</t>
  </si>
  <si>
    <t>④　内装設計：内壁や床面おいて設計上ホコリの溜まりにくい設計や物を置かない設計を採用している。</t>
  </si>
  <si>
    <t>⑥　内装設計：維持管理方法が大きく異なる床材を接近させていない。</t>
    <rPh sb="14" eb="15">
      <t>オオ</t>
    </rPh>
    <phoneticPr fontId="22"/>
  </si>
  <si>
    <t>⑧　外装設計：効果的に水切りなどを外壁面へ設置し、乾湿の作用を防止する、水の溜まらない、壁面が汚れないような配慮・設計を行っている。</t>
    <rPh sb="25" eb="27">
      <t>カンシツ</t>
    </rPh>
    <rPh sb="28" eb="30">
      <t>サヨウ</t>
    </rPh>
    <rPh sb="31" eb="33">
      <t>ボウシ</t>
    </rPh>
    <rPh sb="36" eb="37">
      <t>ミズ</t>
    </rPh>
    <rPh sb="38" eb="39">
      <t>タマ</t>
    </rPh>
    <rPh sb="57" eb="59">
      <t>セッケイ</t>
    </rPh>
    <phoneticPr fontId="22"/>
  </si>
  <si>
    <t>⑩　外装設計：外部に露出する金属部材にメッキ処理等の特別な防錆対策が取られている。</t>
  </si>
  <si>
    <t>⑪　内装・外構設計：外構、管理用区域を含む動線は極力段差の無い（５mm程度）設計をしている。</t>
  </si>
  <si>
    <t>評価項目</t>
    <rPh sb="0" eb="2">
      <t>ヒョウカ</t>
    </rPh>
    <rPh sb="2" eb="4">
      <t>コウモク</t>
    </rPh>
    <phoneticPr fontId="22"/>
  </si>
  <si>
    <t>評価ポイント</t>
    <rPh sb="0" eb="2">
      <t>ヒョウカ</t>
    </rPh>
    <phoneticPr fontId="22"/>
  </si>
  <si>
    <t>4) 感染症対策</t>
    <rPh sb="3" eb="6">
      <t>カンセンショウ</t>
    </rPh>
    <rPh sb="6" eb="8">
      <t>タイサク</t>
    </rPh>
    <phoneticPr fontId="22"/>
  </si>
  <si>
    <t>⑤　廃棄物・リサイクル・粗大ゴミのスペースを建物の延床面積に対し、十分に確保しており、かつ、搬出が容易な計画となっている。</t>
    <rPh sb="22" eb="24">
      <t>タテモノ</t>
    </rPh>
    <phoneticPr fontId="22"/>
  </si>
  <si>
    <t>④　廃棄物のスペースを確保しており、搬出も容易な計画となっている。</t>
    <rPh sb="2" eb="5">
      <t>ハイキブツ</t>
    </rPh>
    <rPh sb="11" eb="13">
      <t>カクホ</t>
    </rPh>
    <rPh sb="18" eb="20">
      <t>ハンシュツ</t>
    </rPh>
    <rPh sb="21" eb="23">
      <t>ヨウイ</t>
    </rPh>
    <rPh sb="24" eb="26">
      <t>ケイカク</t>
    </rPh>
    <phoneticPr fontId="22"/>
  </si>
  <si>
    <t>　　標準計算に用いる電力の排出係数（設定値）</t>
    <rPh sb="2" eb="4">
      <t>ヒョウジュン</t>
    </rPh>
    <rPh sb="4" eb="6">
      <t>ケイサン</t>
    </rPh>
    <rPh sb="7" eb="8">
      <t>モチ</t>
    </rPh>
    <rPh sb="10" eb="12">
      <t>デンリョク</t>
    </rPh>
    <rPh sb="13" eb="15">
      <t>ハイシュツ</t>
    </rPh>
    <rPh sb="15" eb="17">
      <t>ケイスウ</t>
    </rPh>
    <rPh sb="18" eb="20">
      <t>セッテイ</t>
    </rPh>
    <rPh sb="20" eb="21">
      <t>チ</t>
    </rPh>
    <phoneticPr fontId="22"/>
  </si>
  <si>
    <t>←オプションボタン番号</t>
    <rPh sb="9" eb="11">
      <t>バンゴウ</t>
    </rPh>
    <phoneticPr fontId="22"/>
  </si>
  <si>
    <t>電力事業社名/根拠等</t>
    <rPh sb="0" eb="2">
      <t>デンリョク</t>
    </rPh>
    <rPh sb="2" eb="4">
      <t>ジギョウ</t>
    </rPh>
    <rPh sb="4" eb="6">
      <t>シャメイ</t>
    </rPh>
    <rPh sb="7" eb="9">
      <t>コンキョ</t>
    </rPh>
    <rPh sb="9" eb="10">
      <t>トウ</t>
    </rPh>
    <phoneticPr fontId="22"/>
  </si>
  <si>
    <t>排出係数</t>
    <rPh sb="0" eb="2">
      <t>ハイシュツ</t>
    </rPh>
    <rPh sb="2" eb="4">
      <t>ケイスウ</t>
    </rPh>
    <phoneticPr fontId="22"/>
  </si>
  <si>
    <t>↓事業社名</t>
    <rPh sb="1" eb="3">
      <t>ジギョウ</t>
    </rPh>
    <rPh sb="3" eb="5">
      <t>シャメイ</t>
    </rPh>
    <phoneticPr fontId="22"/>
  </si>
  <si>
    <t>↓排出係数</t>
    <rPh sb="1" eb="3">
      <t>ハイシュツ</t>
    </rPh>
    <rPh sb="3" eb="5">
      <t>ケイスウ</t>
    </rPh>
    <phoneticPr fontId="22"/>
  </si>
  <si>
    <t>排出係数</t>
    <phoneticPr fontId="22"/>
  </si>
  <si>
    <r>
      <t>kg-CO</t>
    </r>
    <r>
      <rPr>
        <vertAlign val="subscript"/>
        <sz val="10"/>
        <rFont val="ＭＳ Ｐゴシック"/>
        <family val="3"/>
        <charset val="128"/>
      </rPr>
      <t>2</t>
    </r>
    <r>
      <rPr>
        <sz val="10"/>
        <rFont val="ＭＳ Ｐゴシック"/>
        <family val="3"/>
        <charset val="128"/>
      </rPr>
      <t>/MJ</t>
    </r>
    <phoneticPr fontId="22"/>
  </si>
  <si>
    <t>住宅　共用部</t>
    <rPh sb="0" eb="2">
      <t>ジュウタク</t>
    </rPh>
    <rPh sb="3" eb="6">
      <t>キョウヨウブ</t>
    </rPh>
    <phoneticPr fontId="22"/>
  </si>
  <si>
    <t>一次エネ消費量　GJ/年</t>
    <phoneticPr fontId="22"/>
  </si>
  <si>
    <t>評価建物②</t>
    <rPh sb="0" eb="2">
      <t>ヒョウカ</t>
    </rPh>
    <rPh sb="2" eb="4">
      <t>タテモノ</t>
    </rPh>
    <phoneticPr fontId="22"/>
  </si>
  <si>
    <t>参照建物①</t>
    <rPh sb="0" eb="2">
      <t>サンショウ</t>
    </rPh>
    <rPh sb="2" eb="4">
      <t>タテモノ</t>
    </rPh>
    <phoneticPr fontId="22"/>
  </si>
  <si>
    <t>評価建物③</t>
    <rPh sb="0" eb="2">
      <t>ヒョウカ</t>
    </rPh>
    <rPh sb="2" eb="4">
      <t>タテモノ</t>
    </rPh>
    <phoneticPr fontId="22"/>
  </si>
  <si>
    <t>雑排水等を利用していない。</t>
    <rPh sb="3" eb="4">
      <t>トウ</t>
    </rPh>
    <rPh sb="5" eb="7">
      <t>リヨウ</t>
    </rPh>
    <phoneticPr fontId="2"/>
  </si>
  <si>
    <t>雑排水等を利用している。</t>
    <rPh sb="3" eb="4">
      <t>トウ</t>
    </rPh>
    <rPh sb="5" eb="7">
      <t>リヨウ</t>
    </rPh>
    <phoneticPr fontId="2"/>
  </si>
  <si>
    <t>2種類以上の雑排水等を利用している。</t>
    <rPh sb="1" eb="3">
      <t>シュルイ</t>
    </rPh>
    <rPh sb="3" eb="5">
      <t>イジョウ</t>
    </rPh>
    <rPh sb="6" eb="7">
      <t>ザツ</t>
    </rPh>
    <rPh sb="7" eb="9">
      <t>ハイスイ</t>
    </rPh>
    <rPh sb="9" eb="10">
      <t>トウ</t>
    </rPh>
    <rPh sb="11" eb="13">
      <t>リヨウ</t>
    </rPh>
    <phoneticPr fontId="2"/>
  </si>
  <si>
    <t>⑤　専用の清掃用流しや水道を設置している。</t>
    <rPh sb="2" eb="4">
      <t>センヨウ</t>
    </rPh>
    <rPh sb="5" eb="8">
      <t>セイソウヨウ</t>
    </rPh>
    <rPh sb="8" eb="9">
      <t>ナガ</t>
    </rPh>
    <rPh sb="11" eb="13">
      <t>スイドウ</t>
    </rPh>
    <rPh sb="14" eb="16">
      <t>セッチ</t>
    </rPh>
    <phoneticPr fontId="22"/>
  </si>
  <si>
    <t>合計＝</t>
    <phoneticPr fontId="22"/>
  </si>
  <si>
    <t>該当資材がグリーン購入法における「特定調達品目」または「エコマーク商品」に認定されている場合、採用とみなす。</t>
    <phoneticPr fontId="22"/>
  </si>
  <si>
    <t>LR1</t>
  </si>
  <si>
    <t>冬期24℃、夏期24℃の室温を実現することが可能な設備容量が確保されている。</t>
    <phoneticPr fontId="22"/>
  </si>
  <si>
    <t>建物全体・共用部分</t>
    <phoneticPr fontId="22"/>
  </si>
  <si>
    <t>高度な負荷変動追従ができるような制御システムである。</t>
    <phoneticPr fontId="22"/>
  </si>
  <si>
    <t>住</t>
    <phoneticPr fontId="22"/>
  </si>
  <si>
    <t>窓,外壁,屋根や床（特にピロティ）において室内への熱の侵入に対しての配慮が十分でなく、日射遮蔽性能や断熱性能が低い。</t>
    <phoneticPr fontId="22"/>
  </si>
  <si>
    <t>窓,外壁,屋根や床（特にピロティ）において、室内への熱の侵入に対しての配慮がなされており、実用上、日射遮蔽性能および断熱性能に問題がない。</t>
    <phoneticPr fontId="22"/>
  </si>
  <si>
    <t>窓,外壁,屋根や床（特にピロティ）において、室内への熱の侵入に対して、十分な配慮がなされており、最良の日射遮蔽性能および断熱性能を有する。</t>
    <phoneticPr fontId="22"/>
  </si>
  <si>
    <t>空調システムの例</t>
    <phoneticPr fontId="22"/>
  </si>
  <si>
    <t>方位別やペリメータとインテリア別などの区別が無く、１系統で空調システムが計画されており、季節別に冷暖切り替えが必要である。</t>
    <phoneticPr fontId="22"/>
  </si>
  <si>
    <t>一般的な冬期23℃、夏期26℃の設定。</t>
    <phoneticPr fontId="22"/>
  </si>
  <si>
    <t>一般的な冬期18～20℃、夏期25～28℃の設定。</t>
    <phoneticPr fontId="22"/>
  </si>
  <si>
    <t>取組み毎に
1ポイント</t>
    <phoneticPr fontId="22"/>
  </si>
  <si>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2"/>
  </si>
  <si>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2"/>
  </si>
  <si>
    <t>事務所</t>
    <rPh sb="0" eb="2">
      <t>ジム</t>
    </rPh>
    <rPh sb="2" eb="3">
      <t>ショ</t>
    </rPh>
    <phoneticPr fontId="22"/>
  </si>
  <si>
    <t>学校</t>
    <rPh sb="0" eb="2">
      <t>ガッコウ</t>
    </rPh>
    <phoneticPr fontId="22"/>
  </si>
  <si>
    <r>
      <t xml:space="preserve">1.3.2 </t>
    </r>
    <r>
      <rPr>
        <b/>
        <sz val="10"/>
        <rFont val="ＭＳ Ｐゴシック"/>
        <family val="3"/>
        <charset val="128"/>
      </rPr>
      <t>維持管理用機能の確保</t>
    </r>
    <rPh sb="6" eb="8">
      <t>イジ</t>
    </rPh>
    <rPh sb="8" eb="10">
      <t>カンリ</t>
    </rPh>
    <rPh sb="10" eb="11">
      <t>ヨウ</t>
    </rPh>
    <rPh sb="11" eb="13">
      <t>キノウ</t>
    </rPh>
    <rPh sb="14" eb="16">
      <t>カクホ</t>
    </rPh>
    <phoneticPr fontId="22"/>
  </si>
  <si>
    <t>事・学・飲・物・会・病・ホ・住・工</t>
    <rPh sb="0" eb="1">
      <t>コト</t>
    </rPh>
    <rPh sb="2" eb="3">
      <t>ガク</t>
    </rPh>
    <rPh sb="4" eb="5">
      <t>ノ</t>
    </rPh>
    <rPh sb="6" eb="7">
      <t>モノ</t>
    </rPh>
    <rPh sb="8" eb="9">
      <t>カイ</t>
    </rPh>
    <rPh sb="10" eb="11">
      <t>ビョウ</t>
    </rPh>
    <rPh sb="14" eb="15">
      <t>ジュウ</t>
    </rPh>
    <rPh sb="16" eb="17">
      <t>コウ</t>
    </rPh>
    <phoneticPr fontId="22"/>
  </si>
  <si>
    <t>フェロニッケルスラグを用いたケーソン中詰め材</t>
    <rPh sb="11" eb="12">
      <t>モチ</t>
    </rPh>
    <rPh sb="18" eb="19">
      <t>ナカ</t>
    </rPh>
    <rPh sb="19" eb="20">
      <t>ヅ</t>
    </rPh>
    <rPh sb="21" eb="22">
      <t>ザイ</t>
    </rPh>
    <phoneticPr fontId="22"/>
  </si>
  <si>
    <t>地盤改良用製鋼スラグ</t>
    <rPh sb="0" eb="2">
      <t>ジバン</t>
    </rPh>
    <rPh sb="2" eb="4">
      <t>カイリョウ</t>
    </rPh>
    <rPh sb="4" eb="5">
      <t>ヨウ</t>
    </rPh>
    <rPh sb="5" eb="7">
      <t>セイコウ</t>
    </rPh>
    <phoneticPr fontId="22"/>
  </si>
  <si>
    <t>（調整後排出係数</t>
    <rPh sb="1" eb="4">
      <t>チョウセイゴ</t>
    </rPh>
    <rPh sb="4" eb="6">
      <t>ハイシュツ</t>
    </rPh>
    <rPh sb="6" eb="8">
      <t>ケイスウ</t>
    </rPh>
    <phoneticPr fontId="22"/>
  </si>
  <si>
    <t>kg-CO2/MJ</t>
  </si>
  <si>
    <t>都市ガス</t>
    <rPh sb="0" eb="2">
      <t>トシ</t>
    </rPh>
    <phoneticPr fontId="29"/>
  </si>
  <si>
    <t>DHC</t>
  </si>
  <si>
    <t>灯油</t>
    <rPh sb="0" eb="2">
      <t>トウユ</t>
    </rPh>
    <phoneticPr fontId="29"/>
  </si>
  <si>
    <t>Ａ重油</t>
  </si>
  <si>
    <t>その他</t>
    <rPh sb="2" eb="3">
      <t>タ</t>
    </rPh>
    <phoneticPr fontId="29"/>
  </si>
  <si>
    <t>(灯油＋A重油の平均値）</t>
    <rPh sb="1" eb="3">
      <t>トウユ</t>
    </rPh>
    <rPh sb="5" eb="7">
      <t>ジュウユ</t>
    </rPh>
    <rPh sb="8" eb="11">
      <t>ヘイキンチ</t>
    </rPh>
    <phoneticPr fontId="29"/>
  </si>
  <si>
    <t>代替値</t>
  </si>
  <si>
    <t>用途別排出原単位</t>
    <rPh sb="0" eb="2">
      <t>ヨウト</t>
    </rPh>
    <rPh sb="2" eb="3">
      <t>ベツ</t>
    </rPh>
    <rPh sb="3" eb="5">
      <t>ハイシュツ</t>
    </rPh>
    <rPh sb="5" eb="8">
      <t>ゲンタンイ</t>
    </rPh>
    <phoneticPr fontId="22"/>
  </si>
  <si>
    <t>ガス</t>
  </si>
  <si>
    <r>
      <t xml:space="preserve">4.2.3 </t>
    </r>
    <r>
      <rPr>
        <b/>
        <sz val="10"/>
        <rFont val="ＭＳ Ｐゴシック"/>
        <family val="3"/>
        <charset val="128"/>
      </rPr>
      <t>取り入れ外気への配慮</t>
    </r>
    <rPh sb="6" eb="7">
      <t>ト</t>
    </rPh>
    <rPh sb="8" eb="9">
      <t>イ</t>
    </rPh>
    <rPh sb="10" eb="12">
      <t>ガイキ</t>
    </rPh>
    <rPh sb="14" eb="16">
      <t>ハイリョ</t>
    </rPh>
    <phoneticPr fontId="22"/>
  </si>
  <si>
    <t>評価する取組みが2つ。</t>
  </si>
  <si>
    <t>事・学・会・病・ホ・工・住</t>
    <rPh sb="0" eb="1">
      <t>コト</t>
    </rPh>
    <rPh sb="2" eb="3">
      <t>ガク</t>
    </rPh>
    <rPh sb="4" eb="5">
      <t>カイ</t>
    </rPh>
    <rPh sb="6" eb="7">
      <t>ヤマイ</t>
    </rPh>
    <phoneticPr fontId="22"/>
  </si>
  <si>
    <t>⑥災害時の飲料水確保に備えて，雨水などの転用に対する簡易ろ過装置を備品として備えている。（物・飲は適用外）</t>
    <rPh sb="45" eb="46">
      <t>ブツ</t>
    </rPh>
    <rPh sb="47" eb="48">
      <t>イン</t>
    </rPh>
    <rPh sb="49" eb="51">
      <t>テキヨウ</t>
    </rPh>
    <rPh sb="51" eb="52">
      <t>ガイ</t>
    </rPh>
    <phoneticPr fontId="22"/>
  </si>
  <si>
    <r>
      <t xml:space="preserve">2.4.3 </t>
    </r>
    <r>
      <rPr>
        <b/>
        <sz val="10"/>
        <rFont val="ＭＳ Ｐゴシック"/>
        <family val="3"/>
        <charset val="128"/>
      </rPr>
      <t>電気設備</t>
    </r>
    <rPh sb="6" eb="8">
      <t>デンキ</t>
    </rPh>
    <rPh sb="8" eb="10">
      <t>セツビ</t>
    </rPh>
    <phoneticPr fontId="22"/>
  </si>
  <si>
    <t>建物用途</t>
    <rPh sb="0" eb="2">
      <t>タテモノ</t>
    </rPh>
    <rPh sb="2" eb="4">
      <t>ヨウト</t>
    </rPh>
    <phoneticPr fontId="22"/>
  </si>
  <si>
    <t>空間のゆとり</t>
    <rPh sb="0" eb="2">
      <t>クウカン</t>
    </rPh>
    <phoneticPr fontId="22"/>
  </si>
  <si>
    <t>事・学・物・飲・病・工</t>
    <rPh sb="8" eb="9">
      <t>ヤマイ</t>
    </rPh>
    <rPh sb="10" eb="11">
      <t>コウ</t>
    </rPh>
    <phoneticPr fontId="22"/>
  </si>
  <si>
    <t>事・学・物・飲・病・工【&lt;2000㎡】</t>
    <rPh sb="8" eb="9">
      <t>ヤマイ</t>
    </rPh>
    <rPh sb="10" eb="11">
      <t>コウ</t>
    </rPh>
    <phoneticPr fontId="22"/>
  </si>
  <si>
    <t>3.3ｍ以上、3.5ｍ未満</t>
  </si>
  <si>
    <t>2.7ｍ以上、2.8ｍ未満</t>
  </si>
  <si>
    <t>3.7ｍ以上、3.9ｍ未満</t>
  </si>
  <si>
    <t>2.9ｍ以上、3.0ｍ未満</t>
  </si>
  <si>
    <t>事・学・物・飲・会・病・工</t>
    <rPh sb="12" eb="13">
      <t>コウ</t>
    </rPh>
    <phoneticPr fontId="22"/>
  </si>
  <si>
    <t>0.7≦　[壁長さ比率]</t>
  </si>
  <si>
    <t>0.5≦　[壁長さ比率] ＜0.7</t>
  </si>
  <si>
    <t>0.3≦　[壁長さ比率] ＜0.5</t>
  </si>
  <si>
    <t>0.1≦　[壁長さ比率] ＜0.3</t>
  </si>
  <si>
    <t>壁長さ比率＝</t>
    <rPh sb="0" eb="1">
      <t>カベ</t>
    </rPh>
    <rPh sb="1" eb="2">
      <t>ナガ</t>
    </rPh>
    <rPh sb="3" eb="5">
      <t>ヒリツ</t>
    </rPh>
    <phoneticPr fontId="22"/>
  </si>
  <si>
    <t>荷重のゆとり</t>
    <rPh sb="0" eb="2">
      <t>カジュウ</t>
    </rPh>
    <phoneticPr fontId="22"/>
  </si>
  <si>
    <t>事・物・飲・会（固定席）・病・工</t>
    <rPh sb="0" eb="1">
      <t>コト</t>
    </rPh>
    <rPh sb="2" eb="3">
      <t>モノ</t>
    </rPh>
    <rPh sb="4" eb="5">
      <t>イン</t>
    </rPh>
    <rPh sb="6" eb="7">
      <t>カイ</t>
    </rPh>
    <rPh sb="8" eb="10">
      <t>コテイ</t>
    </rPh>
    <rPh sb="10" eb="11">
      <t>セキ</t>
    </rPh>
    <rPh sb="15" eb="16">
      <t>コウ</t>
    </rPh>
    <phoneticPr fontId="22"/>
  </si>
  <si>
    <t>会（非固定席）</t>
    <rPh sb="0" eb="1">
      <t>カイ</t>
    </rPh>
    <rPh sb="2" eb="3">
      <t>ヒ</t>
    </rPh>
    <rPh sb="3" eb="5">
      <t>コテイ</t>
    </rPh>
    <rPh sb="5" eb="6">
      <t>セキ</t>
    </rPh>
    <phoneticPr fontId="22"/>
  </si>
  <si>
    <t>（該当するレベルなし）</t>
  </si>
  <si>
    <t>2900N/㎡未満</t>
    <phoneticPr fontId="22"/>
  </si>
  <si>
    <t>3500N/㎡未満</t>
    <phoneticPr fontId="22"/>
  </si>
  <si>
    <t>2300N/㎡未満</t>
    <phoneticPr fontId="22"/>
  </si>
  <si>
    <t>1800N/㎡未満</t>
    <phoneticPr fontId="22"/>
  </si>
  <si>
    <t>2900N/㎡以上～3500N/㎡未満</t>
    <phoneticPr fontId="22"/>
  </si>
  <si>
    <t>3500N/㎡以上～4200N/㎡未満</t>
    <phoneticPr fontId="22"/>
  </si>
  <si>
    <t>LR3</t>
    <phoneticPr fontId="22"/>
  </si>
  <si>
    <t>塗り床材</t>
    <rPh sb="0" eb="1">
      <t>ヌ</t>
    </rPh>
    <rPh sb="2" eb="3">
      <t>ユカ</t>
    </rPh>
    <rPh sb="3" eb="4">
      <t>ザイ</t>
    </rPh>
    <phoneticPr fontId="22"/>
  </si>
  <si>
    <t>床仕上げ</t>
    <rPh sb="0" eb="1">
      <t>ユカ</t>
    </rPh>
    <rPh sb="1" eb="3">
      <t>シア</t>
    </rPh>
    <phoneticPr fontId="22"/>
  </si>
  <si>
    <t>床仕上げワックス</t>
    <rPh sb="0" eb="1">
      <t>ユカ</t>
    </rPh>
    <rPh sb="1" eb="3">
      <t>シア</t>
    </rPh>
    <phoneticPr fontId="22"/>
  </si>
  <si>
    <t>防腐剤</t>
    <rPh sb="0" eb="3">
      <t>ボウフザイ</t>
    </rPh>
    <phoneticPr fontId="22"/>
  </si>
  <si>
    <t>平均気流速度</t>
    <rPh sb="0" eb="2">
      <t>ヘイキン</t>
    </rPh>
    <rPh sb="2" eb="4">
      <t>キリュウ</t>
    </rPh>
    <rPh sb="4" eb="6">
      <t>ソクド</t>
    </rPh>
    <phoneticPr fontId="22"/>
  </si>
  <si>
    <t>光・視環境</t>
    <rPh sb="0" eb="1">
      <t>ﾋｶﾘ</t>
    </rPh>
    <rPh sb="2" eb="3">
      <t>ｼ</t>
    </rPh>
    <rPh sb="3" eb="5">
      <t>ｶﾝｷｮｳ</t>
    </rPh>
    <phoneticPr fontId="35" type="noConversion"/>
  </si>
  <si>
    <t>昼光利用</t>
    <rPh sb="0" eb="1">
      <t>ﾋﾙ</t>
    </rPh>
    <rPh sb="1" eb="2">
      <t>ﾋｶﾘ</t>
    </rPh>
    <rPh sb="2" eb="4">
      <t>ﾘﾖｳ</t>
    </rPh>
    <phoneticPr fontId="35" type="noConversion"/>
  </si>
  <si>
    <t>昼光率</t>
    <rPh sb="0" eb="1">
      <t>ヒル</t>
    </rPh>
    <rPh sb="1" eb="2">
      <t>ヒカリ</t>
    </rPh>
    <rPh sb="2" eb="3">
      <t>リツ</t>
    </rPh>
    <phoneticPr fontId="22"/>
  </si>
  <si>
    <t>方位別開口</t>
    <rPh sb="0" eb="2">
      <t>ホウイ</t>
    </rPh>
    <rPh sb="2" eb="3">
      <t>ベツ</t>
    </rPh>
    <rPh sb="3" eb="5">
      <t>カイコウ</t>
    </rPh>
    <phoneticPr fontId="22"/>
  </si>
  <si>
    <t>昼光利用設備</t>
    <rPh sb="0" eb="1">
      <t>ヒル</t>
    </rPh>
    <rPh sb="1" eb="2">
      <t>ヒカリ</t>
    </rPh>
    <rPh sb="2" eb="4">
      <t>リヨウ</t>
    </rPh>
    <rPh sb="4" eb="6">
      <t>セツビ</t>
    </rPh>
    <phoneticPr fontId="22"/>
  </si>
  <si>
    <t>グレア対策</t>
    <rPh sb="3" eb="5">
      <t>ﾀｲｻｸ</t>
    </rPh>
    <phoneticPr fontId="35" type="noConversion"/>
  </si>
  <si>
    <t>照明器具のグレア</t>
    <rPh sb="0" eb="2">
      <t>ショウメイ</t>
    </rPh>
    <rPh sb="2" eb="4">
      <t>キグ</t>
    </rPh>
    <phoneticPr fontId="22"/>
  </si>
  <si>
    <t>昼光制御</t>
    <rPh sb="0" eb="1">
      <t>ヒル</t>
    </rPh>
    <rPh sb="1" eb="2">
      <t>ヒカリ</t>
    </rPh>
    <rPh sb="2" eb="4">
      <t>セイギョ</t>
    </rPh>
    <phoneticPr fontId="22"/>
  </si>
  <si>
    <t>1人当たりの執務スペースが9㎡以上。</t>
  </si>
  <si>
    <r>
      <t xml:space="preserve">1.1.2 </t>
    </r>
    <r>
      <rPr>
        <b/>
        <sz val="10"/>
        <rFont val="ＭＳ Ｐゴシック"/>
        <family val="3"/>
        <charset val="128"/>
      </rPr>
      <t>高度情報通信設備対応</t>
    </r>
    <rPh sb="6" eb="8">
      <t>コウド</t>
    </rPh>
    <rPh sb="8" eb="10">
      <t>ジョウホウ</t>
    </rPh>
    <rPh sb="10" eb="12">
      <t>ツウシン</t>
    </rPh>
    <rPh sb="12" eb="14">
      <t>セツビ</t>
    </rPh>
    <rPh sb="14" eb="16">
      <t>タイオウ</t>
    </rPh>
    <phoneticPr fontId="22"/>
  </si>
  <si>
    <t>建物全体・共用部分</t>
    <phoneticPr fontId="22"/>
  </si>
  <si>
    <r>
      <t xml:space="preserve">4.3.2 </t>
    </r>
    <r>
      <rPr>
        <b/>
        <sz val="10"/>
        <rFont val="ＭＳ Ｐゴシック"/>
        <family val="3"/>
        <charset val="128"/>
      </rPr>
      <t>喫煙の制御</t>
    </r>
    <rPh sb="6" eb="8">
      <t>キツエン</t>
    </rPh>
    <rPh sb="9" eb="11">
      <t>セイギョ</t>
    </rPh>
    <phoneticPr fontId="22"/>
  </si>
  <si>
    <t>事・学・物・飲・会・工</t>
    <rPh sb="10" eb="11">
      <t>コウ</t>
    </rPh>
    <phoneticPr fontId="22"/>
  </si>
  <si>
    <t>事・学・物・飲・会・病(待)・ホ・工</t>
    <rPh sb="10" eb="11">
      <t>ヤマイ</t>
    </rPh>
    <rPh sb="12" eb="13">
      <t>マ</t>
    </rPh>
    <rPh sb="17" eb="18">
      <t>コウ</t>
    </rPh>
    <phoneticPr fontId="22"/>
  </si>
  <si>
    <t>手動による計測を前提としたシステムとなっており、必要最低限の記録がなされている。</t>
  </si>
  <si>
    <t>喫煙ブースなど、非喫煙者が煙に曝されないような対策が最低限取られている。</t>
  </si>
  <si>
    <t>手動による計測を前提としたシステムとなっており、空気質を適正に維持するための管理マニュアル等が整備されており、有効に機能している。</t>
  </si>
  <si>
    <t>ビル全体の禁煙が確認されている。または、喫煙ブースなど、非喫煙者が煙に曝されないような対策が十分に取られている。</t>
  </si>
  <si>
    <t>特定建築物に該当する場合の取組みで評価する</t>
  </si>
  <si>
    <r>
      <t xml:space="preserve">1.1.1 </t>
    </r>
    <r>
      <rPr>
        <b/>
        <sz val="10"/>
        <rFont val="ＭＳ Ｐゴシック"/>
        <family val="3"/>
        <charset val="128"/>
      </rPr>
      <t>広さ・収納性</t>
    </r>
    <rPh sb="6" eb="7">
      <t>ヒロ</t>
    </rPh>
    <rPh sb="9" eb="12">
      <t>シュウノウセイ</t>
    </rPh>
    <phoneticPr fontId="22"/>
  </si>
  <si>
    <t>事・工</t>
    <rPh sb="0" eb="1">
      <t>コト</t>
    </rPh>
    <rPh sb="2" eb="3">
      <t>コウ</t>
    </rPh>
    <phoneticPr fontId="22"/>
  </si>
  <si>
    <t>病</t>
    <rPh sb="0" eb="1">
      <t>ビョウ</t>
    </rPh>
    <phoneticPr fontId="22"/>
  </si>
  <si>
    <t>HCFC－124</t>
  </si>
  <si>
    <t>HCFC－141b</t>
  </si>
  <si>
    <t>HCFC－142b</t>
  </si>
  <si>
    <t>HCFC－225ca</t>
  </si>
  <si>
    <t>HCFC－225cb</t>
  </si>
  <si>
    <t>HFC－23</t>
  </si>
  <si>
    <t>レベル３（代替フロン）</t>
    <rPh sb="5" eb="7">
      <t>ダイタイ</t>
    </rPh>
    <phoneticPr fontId="22"/>
  </si>
  <si>
    <t>HFC－32</t>
  </si>
  <si>
    <t>HFC－125</t>
  </si>
  <si>
    <t>HFC－134a</t>
  </si>
  <si>
    <t>HFC－143a</t>
  </si>
  <si>
    <t>HFC－152a</t>
  </si>
  <si>
    <t>HFC－227ea</t>
  </si>
  <si>
    <t>HFC－236fa</t>
  </si>
  <si>
    <t>診療室</t>
    <rPh sb="0" eb="3">
      <t>シンリョウシツ</t>
    </rPh>
    <phoneticPr fontId="22"/>
  </si>
  <si>
    <t>検査室</t>
    <rPh sb="0" eb="3">
      <t>ケンサシツ</t>
    </rPh>
    <phoneticPr fontId="22"/>
  </si>
  <si>
    <t>日本ロジテック協同組合</t>
  </si>
  <si>
    <t>維持管理用機能の確保において、取り組みにおいて該当する項目数が十分でない。（評価する取組みが 0～3）</t>
    <rPh sb="0" eb="2">
      <t>イジ</t>
    </rPh>
    <rPh sb="2" eb="5">
      <t>カンリヨウ</t>
    </rPh>
    <rPh sb="5" eb="7">
      <t>キノウ</t>
    </rPh>
    <rPh sb="8" eb="10">
      <t>カクホ</t>
    </rPh>
    <rPh sb="15" eb="16">
      <t>ト</t>
    </rPh>
    <rPh sb="17" eb="18">
      <t>ク</t>
    </rPh>
    <rPh sb="31" eb="33">
      <t>ジュウブン</t>
    </rPh>
    <phoneticPr fontId="22"/>
  </si>
  <si>
    <t>維持管理用機能の確保において、取り組みにおいて該当する項目数が標準的である。（評価する取組みが 4～6）</t>
    <rPh sb="0" eb="2">
      <t>イジ</t>
    </rPh>
    <rPh sb="2" eb="5">
      <t>カンリヨウ</t>
    </rPh>
    <rPh sb="5" eb="7">
      <t>キノウ</t>
    </rPh>
    <rPh sb="8" eb="10">
      <t>カクホ</t>
    </rPh>
    <rPh sb="15" eb="16">
      <t>ト</t>
    </rPh>
    <rPh sb="17" eb="18">
      <t>ク</t>
    </rPh>
    <rPh sb="31" eb="33">
      <t>ヒョウジュン</t>
    </rPh>
    <rPh sb="33" eb="34">
      <t>テキ</t>
    </rPh>
    <phoneticPr fontId="22"/>
  </si>
  <si>
    <t>維持管理用機能の確保において、取り組みにおいて該当する項目数が標準以上である。（評価する取組みが 7～9）</t>
    <rPh sb="15" eb="16">
      <t>ト</t>
    </rPh>
    <rPh sb="17" eb="18">
      <t>ク</t>
    </rPh>
    <rPh sb="31" eb="33">
      <t>ヒョウジュン</t>
    </rPh>
    <rPh sb="33" eb="35">
      <t>イジョウ</t>
    </rPh>
    <phoneticPr fontId="22"/>
  </si>
  <si>
    <t>維持管理用機能の確保において、充実した取り組みにおいて該当する項目数が行われている。（評価する取組みが 10以上）</t>
    <rPh sb="15" eb="17">
      <t>ジュウジツ</t>
    </rPh>
    <rPh sb="19" eb="20">
      <t>ト</t>
    </rPh>
    <rPh sb="21" eb="22">
      <t>ク</t>
    </rPh>
    <rPh sb="35" eb="36">
      <t>オコナ</t>
    </rPh>
    <rPh sb="54" eb="56">
      <t>イジョウ</t>
    </rPh>
    <phoneticPr fontId="22"/>
  </si>
  <si>
    <t>①　建物の延床面積に対し、十分なスペースの清掃員控え室の設置をしている。</t>
    <rPh sb="2" eb="4">
      <t>タテモノ</t>
    </rPh>
    <phoneticPr fontId="22"/>
  </si>
  <si>
    <t>②　建物の延床面積に対し、十分なスペースの清掃用具室と管理倉庫の設置をしている。</t>
    <rPh sb="2" eb="4">
      <t>タテモノ</t>
    </rPh>
    <rPh sb="27" eb="29">
      <t>カンリ</t>
    </rPh>
    <rPh sb="29" eb="31">
      <t>ソウコ</t>
    </rPh>
    <phoneticPr fontId="22"/>
  </si>
  <si>
    <t>Lr-55</t>
    <phoneticPr fontId="22"/>
  </si>
  <si>
    <t>Lr-60</t>
    <phoneticPr fontId="22"/>
  </si>
  <si>
    <t>Lr-50</t>
    <phoneticPr fontId="22"/>
  </si>
  <si>
    <t>Lr-45</t>
    <phoneticPr fontId="22"/>
  </si>
  <si>
    <t>Lr-50　またはそれより良い</t>
    <phoneticPr fontId="22"/>
  </si>
  <si>
    <t>全般照明方式の場合で室内にかなり不快に感じる程度の非常に暗い部分がある。</t>
    <phoneticPr fontId="22"/>
  </si>
  <si>
    <t>マルチユニット型ヒートポンプ方式（冷暖同時）、二重ダクト方式（ＡＨＵで４管式）、４管式ＦＣＵ方式レベル３，４以上の細かなゾーニング（４０m2程度）による。</t>
    <phoneticPr fontId="22"/>
  </si>
  <si>
    <r>
      <t xml:space="preserve">2.1.5 </t>
    </r>
    <r>
      <rPr>
        <b/>
        <sz val="10"/>
        <rFont val="ＭＳ Ｐゴシック"/>
        <family val="3"/>
        <charset val="128"/>
      </rPr>
      <t>温度・湿度制御</t>
    </r>
    <rPh sb="6" eb="8">
      <t>オンド</t>
    </rPh>
    <rPh sb="9" eb="11">
      <t>シツド</t>
    </rPh>
    <rPh sb="11" eb="13">
      <t>セイギョ</t>
    </rPh>
    <phoneticPr fontId="22"/>
  </si>
  <si>
    <t>事・学・物・飲・会・病・ホ・工・住</t>
    <rPh sb="16" eb="17">
      <t>ジュウ</t>
    </rPh>
    <phoneticPr fontId="22"/>
  </si>
  <si>
    <t>ＯＮ-ＯＦＦによる温度・湿度制御になっている。</t>
  </si>
  <si>
    <t>比例制御、多位置制御による温度・湿度制御になっている。</t>
  </si>
  <si>
    <t>ＰＩＤ制御による温度・室内湿度になっている。</t>
  </si>
  <si>
    <t>快適センサーなどによる温度・湿度制御（快適範囲における温度制御）が可能である。</t>
  </si>
  <si>
    <r>
      <t xml:space="preserve">2.1.6 </t>
    </r>
    <r>
      <rPr>
        <b/>
        <sz val="10"/>
        <rFont val="ＭＳ Ｐゴシック"/>
        <family val="3"/>
        <charset val="128"/>
      </rPr>
      <t>個別制御</t>
    </r>
    <rPh sb="6" eb="8">
      <t>コベツ</t>
    </rPh>
    <rPh sb="8" eb="10">
      <t>セイギョ</t>
    </rPh>
    <phoneticPr fontId="22"/>
  </si>
  <si>
    <t>住</t>
    <rPh sb="0" eb="1">
      <t>ジュウ</t>
    </rPh>
    <phoneticPr fontId="22"/>
  </si>
  <si>
    <t>在室者は手元で、Low-Middle-Highの風量切り替えが可能である。</t>
  </si>
  <si>
    <t>在室者は手元で、直接温度設定やLow-Middle-Highの風量調整が可能である。ただし、熱源側は季節に応じて冷暖切り替えである。</t>
  </si>
  <si>
    <t>各室内で温度設定が可能。</t>
  </si>
  <si>
    <t>在室者は手元で、直接、温度設定や風量調整が可能である。（熱源側は冷暖同時）</t>
  </si>
  <si>
    <t>住戸内の温度を設定しつつ、各室において温度の個別設定が可能。</t>
  </si>
  <si>
    <r>
      <t xml:space="preserve">2.1.8 </t>
    </r>
    <r>
      <rPr>
        <b/>
        <sz val="10"/>
        <rFont val="ＭＳ Ｐゴシック"/>
        <family val="3"/>
        <charset val="128"/>
      </rPr>
      <t>監視システム</t>
    </r>
    <rPh sb="6" eb="8">
      <t>カンシ</t>
    </rPh>
    <phoneticPr fontId="22"/>
  </si>
  <si>
    <t>事・学・病・ホ・工</t>
    <rPh sb="4" eb="5">
      <t>ヤマイ</t>
    </rPh>
    <rPh sb="8" eb="9">
      <t>コウ</t>
    </rPh>
    <phoneticPr fontId="22"/>
  </si>
  <si>
    <t>物・飲</t>
    <rPh sb="2" eb="3">
      <t>イン</t>
    </rPh>
    <phoneticPr fontId="22"/>
  </si>
  <si>
    <t>時間外や休日時には、空調運転を行わない。</t>
  </si>
  <si>
    <t>同一フロアで熱負荷別に複数にゾーニングがなされておらず、代表的なゾーン監視のためにセンサー等の監視システムが設置されている。</t>
  </si>
  <si>
    <t>＜実施設計段階、竣工段階で詳細な評価を行う場合に記入＞</t>
    <phoneticPr fontId="22"/>
  </si>
  <si>
    <t>Quality</t>
    <phoneticPr fontId="22"/>
  </si>
  <si>
    <r>
      <t>L</t>
    </r>
    <r>
      <rPr>
        <sz val="8"/>
        <color indexed="10"/>
        <rFont val="ＭＳ Ｐゴシック"/>
        <family val="3"/>
        <charset val="128"/>
      </rPr>
      <t>：</t>
    </r>
    <r>
      <rPr>
        <sz val="8"/>
        <color indexed="10"/>
        <rFont val="Arial"/>
        <family val="2"/>
      </rPr>
      <t>Load</t>
    </r>
    <phoneticPr fontId="22"/>
  </si>
  <si>
    <r>
      <t>LR</t>
    </r>
    <r>
      <rPr>
        <sz val="8"/>
        <color indexed="10"/>
        <rFont val="ＭＳ Ｐゴシック"/>
        <family val="3"/>
        <charset val="128"/>
      </rPr>
      <t>：</t>
    </r>
    <r>
      <rPr>
        <sz val="8"/>
        <color indexed="10"/>
        <rFont val="Arial"/>
        <family val="2"/>
      </rPr>
      <t>Load Reduction</t>
    </r>
    <phoneticPr fontId="22"/>
  </si>
  <si>
    <r>
      <t>SQ</t>
    </r>
    <r>
      <rPr>
        <sz val="8"/>
        <color indexed="10"/>
        <rFont val="ＭＳ Ｐゴシック"/>
        <family val="3"/>
        <charset val="128"/>
      </rPr>
      <t>：</t>
    </r>
    <r>
      <rPr>
        <sz val="8"/>
        <color indexed="10"/>
        <rFont val="Arial"/>
        <family val="2"/>
      </rPr>
      <t>Score of Q category</t>
    </r>
    <phoneticPr fontId="22"/>
  </si>
  <si>
    <r>
      <t>SLR</t>
    </r>
    <r>
      <rPr>
        <sz val="8"/>
        <color indexed="10"/>
        <rFont val="ＭＳ Ｐゴシック"/>
        <family val="3"/>
        <charset val="128"/>
      </rPr>
      <t>：</t>
    </r>
    <r>
      <rPr>
        <sz val="8"/>
        <color indexed="10"/>
        <rFont val="Arial"/>
        <family val="2"/>
      </rPr>
      <t>Score of LR category</t>
    </r>
    <phoneticPr fontId="22"/>
  </si>
  <si>
    <r>
      <t>BEE</t>
    </r>
    <r>
      <rPr>
        <sz val="8"/>
        <color indexed="10"/>
        <rFont val="ＭＳ Ｐゴシック"/>
        <family val="3"/>
        <charset val="128"/>
      </rPr>
      <t>：</t>
    </r>
    <r>
      <rPr>
        <sz val="8"/>
        <color indexed="10"/>
        <rFont val="Arial"/>
        <family val="2"/>
      </rPr>
      <t>Building Environmental Efficiency</t>
    </r>
    <phoneticPr fontId="22"/>
  </si>
  <si>
    <t>(3)の評価はオプションとし、実施設計段階および竣工段階で可能な範囲で記入する。</t>
    <phoneticPr fontId="22"/>
  </si>
  <si>
    <t>配慮項目</t>
    <phoneticPr fontId="22"/>
  </si>
  <si>
    <t>環境配慮設計の概要記入欄</t>
    <phoneticPr fontId="22"/>
  </si>
  <si>
    <t>全体</t>
    <phoneticPr fontId="22"/>
  </si>
  <si>
    <t>weight(set)</t>
    <phoneticPr fontId="22"/>
  </si>
  <si>
    <t>Ｑ　建築物の環境品質</t>
    <phoneticPr fontId="22"/>
  </si>
  <si>
    <t>Q1</t>
    <phoneticPr fontId="35" type="noConversion"/>
  </si>
  <si>
    <t>温度・湿度制御</t>
    <phoneticPr fontId="22"/>
  </si>
  <si>
    <t>Q2</t>
    <phoneticPr fontId="35" type="noConversion"/>
  </si>
  <si>
    <t>サービス性能</t>
    <phoneticPr fontId="22"/>
  </si>
  <si>
    <t>リフレッシュスペース</t>
    <phoneticPr fontId="22"/>
  </si>
  <si>
    <t>空調配管の更新性</t>
    <phoneticPr fontId="22"/>
  </si>
  <si>
    <t>Q3</t>
    <phoneticPr fontId="35" type="noConversion"/>
  </si>
  <si>
    <t>室外環境（敷地内）</t>
    <phoneticPr fontId="22"/>
  </si>
  <si>
    <t>3b</t>
    <phoneticPr fontId="22"/>
  </si>
  <si>
    <t>エネルギー利用効率化設備</t>
    <phoneticPr fontId="22"/>
  </si>
  <si>
    <t>モニタリング</t>
    <phoneticPr fontId="35" type="noConversion"/>
  </si>
  <si>
    <t>LR2</t>
    <phoneticPr fontId="35" type="noConversion"/>
  </si>
  <si>
    <t>資源・マテリアル</t>
    <phoneticPr fontId="22"/>
  </si>
  <si>
    <t>LR3</t>
    <phoneticPr fontId="35" type="noConversion"/>
  </si>
  <si>
    <t>敷地外環境</t>
    <phoneticPr fontId="22"/>
  </si>
  <si>
    <t>温熱環境悪化の改善</t>
    <phoneticPr fontId="22"/>
  </si>
  <si>
    <t>雨水排水負荷低減</t>
    <phoneticPr fontId="35" type="noConversion"/>
  </si>
  <si>
    <t>汚水処理負荷抑制</t>
    <phoneticPr fontId="35" type="noConversion"/>
  </si>
  <si>
    <t>振動</t>
    <phoneticPr fontId="35" type="noConversion"/>
  </si>
  <si>
    <t>悪臭</t>
    <phoneticPr fontId="35" type="noConversion"/>
  </si>
  <si>
    <t>風害の抑制</t>
    <phoneticPr fontId="35" type="noConversion"/>
  </si>
  <si>
    <t>日照阻害の抑制</t>
    <phoneticPr fontId="35" type="noConversion"/>
  </si>
  <si>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2"/>
  </si>
  <si>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22"/>
  </si>
  <si>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2"/>
  </si>
  <si>
    <t>集合住宅</t>
    <phoneticPr fontId="22"/>
  </si>
  <si>
    <t>ｍ3/㎡</t>
    <phoneticPr fontId="22"/>
  </si>
  <si>
    <t>◆</t>
    <phoneticPr fontId="22"/>
  </si>
  <si>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2"/>
  </si>
  <si>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2"/>
  </si>
  <si>
    <r>
      <t>3.　運用時のエネルギーに係るCO</t>
    </r>
    <r>
      <rPr>
        <b/>
        <vertAlign val="subscript"/>
        <sz val="11"/>
        <rFont val="ＭＳ Ｐゴシック"/>
        <family val="3"/>
        <charset val="128"/>
      </rPr>
      <t>2</t>
    </r>
    <r>
      <rPr>
        <b/>
        <sz val="11"/>
        <rFont val="ＭＳ Ｐゴシック"/>
        <family val="3"/>
        <charset val="128"/>
      </rPr>
      <t>排出量</t>
    </r>
    <rPh sb="3" eb="5">
      <t>ウンヨウ</t>
    </rPh>
    <rPh sb="5" eb="6">
      <t>ジ</t>
    </rPh>
    <rPh sb="13" eb="14">
      <t>カカ</t>
    </rPh>
    <rPh sb="18" eb="20">
      <t>ハイシュツ</t>
    </rPh>
    <rPh sb="20" eb="21">
      <t>リョウ</t>
    </rPh>
    <phoneticPr fontId="22"/>
  </si>
  <si>
    <t>N.A.</t>
    <phoneticPr fontId="22"/>
  </si>
  <si>
    <r>
      <t>4.　ライフサイクルCO</t>
    </r>
    <r>
      <rPr>
        <b/>
        <vertAlign val="subscript"/>
        <sz val="11"/>
        <rFont val="ＭＳ Ｐゴシック"/>
        <family val="3"/>
        <charset val="128"/>
      </rPr>
      <t>2</t>
    </r>
    <r>
      <rPr>
        <b/>
        <sz val="11"/>
        <rFont val="ＭＳ Ｐゴシック"/>
        <family val="3"/>
        <charset val="128"/>
      </rPr>
      <t>の計算（標準計算）</t>
    </r>
    <rPh sb="14" eb="16">
      <t>ケイサン</t>
    </rPh>
    <rPh sb="17" eb="19">
      <t>ヒョウジュン</t>
    </rPh>
    <rPh sb="19" eb="21">
      <t>ケイサン</t>
    </rPh>
    <phoneticPr fontId="22"/>
  </si>
  <si>
    <t>LR1 
エネルギー</t>
    <phoneticPr fontId="22"/>
  </si>
  <si>
    <r>
      <t xml:space="preserve">Q1 </t>
    </r>
    <r>
      <rPr>
        <b/>
        <sz val="14"/>
        <rFont val="ＭＳ Ｐゴシック"/>
        <family val="3"/>
        <charset val="128"/>
      </rPr>
      <t>室内環境</t>
    </r>
    <rPh sb="3" eb="5">
      <t>シツナイ</t>
    </rPh>
    <rPh sb="5" eb="7">
      <t>カンキョウ</t>
    </rPh>
    <phoneticPr fontId="22"/>
  </si>
  <si>
    <t>○</t>
    <phoneticPr fontId="22"/>
  </si>
  <si>
    <t>ON</t>
    <phoneticPr fontId="22"/>
  </si>
  <si>
    <t>dB(A)</t>
    <phoneticPr fontId="22"/>
  </si>
  <si>
    <t>建物全体・共用部分</t>
    <phoneticPr fontId="22"/>
  </si>
  <si>
    <t>住居・宿泊部分</t>
    <phoneticPr fontId="22"/>
  </si>
  <si>
    <t>小中学校</t>
    <rPh sb="0" eb="4">
      <t>ショウチュウガッコウ</t>
    </rPh>
    <phoneticPr fontId="22"/>
  </si>
  <si>
    <t>物販店</t>
    <rPh sb="0" eb="3">
      <t>ブッパンテン</t>
    </rPh>
    <phoneticPr fontId="22"/>
  </si>
  <si>
    <t>デパート・スーパー</t>
  </si>
  <si>
    <t>集会所</t>
    <rPh sb="0" eb="3">
      <t>シュウカイショ</t>
    </rPh>
    <phoneticPr fontId="22"/>
  </si>
  <si>
    <t>集会所</t>
    <rPh sb="0" eb="2">
      <t>シュウカイ</t>
    </rPh>
    <rPh sb="2" eb="3">
      <t>ジョ</t>
    </rPh>
    <phoneticPr fontId="22"/>
  </si>
  <si>
    <t>病院</t>
    <rPh sb="0" eb="2">
      <t>ビョウイン</t>
    </rPh>
    <phoneticPr fontId="22"/>
  </si>
  <si>
    <t>3）結果出力</t>
    <rPh sb="2" eb="4">
      <t>ケッカ</t>
    </rPh>
    <rPh sb="4" eb="6">
      <t>シュツリョク</t>
    </rPh>
    <phoneticPr fontId="22"/>
  </si>
  <si>
    <t>スコアシート</t>
    <phoneticPr fontId="22"/>
  </si>
  <si>
    <t>●スコア</t>
    <phoneticPr fontId="22"/>
  </si>
  <si>
    <t>評価結果表示シート</t>
    <rPh sb="0" eb="2">
      <t>ヒョウカ</t>
    </rPh>
    <rPh sb="2" eb="4">
      <t>ケッカ</t>
    </rPh>
    <rPh sb="4" eb="6">
      <t>ヒョウジ</t>
    </rPh>
    <phoneticPr fontId="22"/>
  </si>
  <si>
    <t>●結果　</t>
    <rPh sb="1" eb="3">
      <t>ケッカ</t>
    </rPh>
    <phoneticPr fontId="22"/>
  </si>
  <si>
    <r>
      <t>●</t>
    </r>
    <r>
      <rPr>
        <sz val="10"/>
        <color indexed="18"/>
        <rFont val="Arial"/>
        <family val="2"/>
      </rPr>
      <t>LCCO2</t>
    </r>
    <r>
      <rPr>
        <sz val="10"/>
        <color indexed="18"/>
        <rFont val="ＭＳ Ｐゴシック"/>
        <family val="3"/>
        <charset val="128"/>
      </rPr>
      <t>計算</t>
    </r>
    <rPh sb="6" eb="8">
      <t>ケイサン</t>
    </rPh>
    <phoneticPr fontId="22"/>
  </si>
  <si>
    <t>LCCO2算定条件シート</t>
    <rPh sb="5" eb="7">
      <t>サンテイ</t>
    </rPh>
    <rPh sb="7" eb="9">
      <t>ジョウケン</t>
    </rPh>
    <phoneticPr fontId="22"/>
  </si>
  <si>
    <t>１作業単位で照明制御でき、かつ、端末・リモコン等で調整できる、または自動照明制御ができる。</t>
    <rPh sb="6" eb="8">
      <t>ショウメイ</t>
    </rPh>
    <rPh sb="34" eb="36">
      <t>ジドウ</t>
    </rPh>
    <rPh sb="36" eb="38">
      <t>ショウメイ</t>
    </rPh>
    <rPh sb="38" eb="40">
      <t>セイギョ</t>
    </rPh>
    <phoneticPr fontId="22"/>
  </si>
  <si>
    <t>室内の複数部分に対して端末、リモコン等で細かい照明制御ができる、または、自動照明制御ができる。</t>
    <rPh sb="23" eb="25">
      <t>ショウメイ</t>
    </rPh>
    <rPh sb="36" eb="38">
      <t>ジドウ</t>
    </rPh>
    <rPh sb="38" eb="40">
      <t>ショウメイ</t>
    </rPh>
    <rPh sb="40" eb="42">
      <t>セイギョ</t>
    </rPh>
    <phoneticPr fontId="22"/>
  </si>
  <si>
    <t>発生源対策</t>
    <rPh sb="0" eb="3">
      <t>ハッセイゲン</t>
    </rPh>
    <rPh sb="3" eb="5">
      <t>タイサク</t>
    </rPh>
    <phoneticPr fontId="22"/>
  </si>
  <si>
    <r>
      <t xml:space="preserve">4.1.1 </t>
    </r>
    <r>
      <rPr>
        <b/>
        <sz val="10"/>
        <rFont val="ＭＳ Ｐゴシック"/>
        <family val="3"/>
        <charset val="128"/>
      </rPr>
      <t>化学汚染物質</t>
    </r>
    <rPh sb="6" eb="8">
      <t>カガク</t>
    </rPh>
    <rPh sb="8" eb="10">
      <t>オセン</t>
    </rPh>
    <rPh sb="10" eb="12">
      <t>ブッシツ</t>
    </rPh>
    <phoneticPr fontId="22"/>
  </si>
  <si>
    <t>事・学・物・飲・会・病・ホ・工・住</t>
    <rPh sb="2" eb="3">
      <t>ガク</t>
    </rPh>
    <rPh sb="6" eb="7">
      <t>イン</t>
    </rPh>
    <rPh sb="8" eb="9">
      <t>カイ</t>
    </rPh>
    <rPh sb="16" eb="17">
      <t>ジュウ</t>
    </rPh>
    <phoneticPr fontId="22"/>
  </si>
  <si>
    <t>病・ホ・住</t>
    <rPh sb="0" eb="1">
      <t>ヤマイ</t>
    </rPh>
    <rPh sb="4" eb="5">
      <t>ジュウ</t>
    </rPh>
    <phoneticPr fontId="22"/>
  </si>
  <si>
    <t>レベル３を満たさない。</t>
    <phoneticPr fontId="22"/>
  </si>
  <si>
    <t>建築基準法を満たしている。</t>
    <phoneticPr fontId="22"/>
  </si>
  <si>
    <t>ホルムアルデヒド濃度が100μg/m3以下。
かつ、トルエン濃度が260μg/m3以下。
測定によらない場合、建築基準法を満たしている。</t>
    <phoneticPr fontId="22"/>
  </si>
  <si>
    <t>建築基準法を満たしており、かつ建築基準法規制対象外となる建築材料（告示対象外の建材およびJIS・JAS規格のＦ☆☆☆☆）をほぼ全面的（床・壁・天井・天井裏の面積の合計の70％以上の面積）に採用している。</t>
    <rPh sb="81" eb="83">
      <t>ゴウケイ</t>
    </rPh>
    <phoneticPr fontId="22"/>
  </si>
  <si>
    <r>
      <t xml:space="preserve">4.1.2 </t>
    </r>
    <r>
      <rPr>
        <b/>
        <sz val="10"/>
        <rFont val="ＭＳ Ｐゴシック"/>
        <family val="3"/>
        <charset val="128"/>
      </rPr>
      <t>アスベスト対策</t>
    </r>
    <rPh sb="11" eb="13">
      <t>タイサク</t>
    </rPh>
    <phoneticPr fontId="22"/>
  </si>
  <si>
    <t>既存のみ評価</t>
    <rPh sb="0" eb="2">
      <t>キソン</t>
    </rPh>
    <rPh sb="4" eb="6">
      <t>ヒョウカ</t>
    </rPh>
    <phoneticPr fontId="22"/>
  </si>
  <si>
    <t>吹き付けアスベスト等を使用しているが、封じ込め又は囲い込みが行われている。</t>
    <phoneticPr fontId="22"/>
  </si>
  <si>
    <t>吹き付けアスベスト等を一切使用していない。</t>
    <phoneticPr fontId="22"/>
  </si>
  <si>
    <r>
      <t xml:space="preserve">4.1.3 </t>
    </r>
    <r>
      <rPr>
        <b/>
        <sz val="10"/>
        <rFont val="ＭＳ Ｐゴシック"/>
        <family val="3"/>
        <charset val="128"/>
      </rPr>
      <t>ダニ・カビ等</t>
    </r>
    <rPh sb="11" eb="12">
      <t>トウ</t>
    </rPh>
    <phoneticPr fontId="22"/>
  </si>
  <si>
    <t>事・学・物・飲・会・病・ホ・工・住</t>
    <rPh sb="0" eb="1">
      <t>コト</t>
    </rPh>
    <rPh sb="2" eb="3">
      <t>ガク</t>
    </rPh>
    <rPh sb="4" eb="5">
      <t>モノ</t>
    </rPh>
    <rPh sb="6" eb="7">
      <t>イン</t>
    </rPh>
    <rPh sb="8" eb="9">
      <t>カイ</t>
    </rPh>
    <rPh sb="10" eb="11">
      <t>ヤマイ</t>
    </rPh>
    <rPh sb="16" eb="17">
      <t>ジュウ</t>
    </rPh>
    <phoneticPr fontId="22"/>
  </si>
  <si>
    <t>内装は、床・壁の50％以上～65％未満の面積において、ダニ・カビの発生を抑制、あるいは清掃・メンテナンスに配慮したものとなっている。</t>
    <rPh sb="17" eb="19">
      <t>ミマン</t>
    </rPh>
    <phoneticPr fontId="22"/>
  </si>
  <si>
    <r>
      <t xml:space="preserve">4.1.4 </t>
    </r>
    <r>
      <rPr>
        <b/>
        <sz val="10"/>
        <rFont val="ＭＳ Ｐゴシック"/>
        <family val="3"/>
        <charset val="128"/>
      </rPr>
      <t>レジオネラ対策</t>
    </r>
    <rPh sb="11" eb="13">
      <t>タイサク</t>
    </rPh>
    <phoneticPr fontId="22"/>
  </si>
  <si>
    <t>事・学・物・飲・会・工・病</t>
    <rPh sb="0" eb="1">
      <t>コト</t>
    </rPh>
    <rPh sb="2" eb="3">
      <t>ガク</t>
    </rPh>
    <rPh sb="4" eb="5">
      <t>モノ</t>
    </rPh>
    <rPh sb="6" eb="7">
      <t>イン</t>
    </rPh>
    <rPh sb="8" eb="9">
      <t>カイ</t>
    </rPh>
    <rPh sb="10" eb="11">
      <t>コウ</t>
    </rPh>
    <rPh sb="12" eb="13">
      <t>ビョウ</t>
    </rPh>
    <phoneticPr fontId="22"/>
  </si>
  <si>
    <t>冷却塔の水処理、飛散対策等が最低限施されており、給湯器も最低限の対策が施されている。</t>
  </si>
  <si>
    <t>評価する取組み表の評価ポイントの合計値が3ポイント</t>
    <phoneticPr fontId="22"/>
  </si>
  <si>
    <t>評価する取組み表の評価ポイントの合計値が4ポイント</t>
    <phoneticPr fontId="22"/>
  </si>
  <si>
    <t>評価する取組み表の評価ポイントの合計値が5ポイント以上</t>
    <phoneticPr fontId="22"/>
  </si>
  <si>
    <t>I ゴミの種類や量の推計</t>
    <phoneticPr fontId="22"/>
  </si>
  <si>
    <t>該当資材がグリーン購入法における「特定調達品目」または「エコマーク商品」に認定されている場合、採用とみなす。</t>
    <phoneticPr fontId="22"/>
  </si>
  <si>
    <t>木材を使用していない時は評価対象外</t>
    <phoneticPr fontId="22"/>
  </si>
  <si>
    <t>持続可能な森林から産出された木材を使用していない。</t>
    <phoneticPr fontId="22"/>
  </si>
  <si>
    <t>持続可能な森林から産出された木材を使用しているが、使用比率10％未満。</t>
    <phoneticPr fontId="22"/>
  </si>
  <si>
    <t>振動に関する規制基準値</t>
    <rPh sb="0" eb="2">
      <t>シンドウ</t>
    </rPh>
    <rPh sb="3" eb="4">
      <t>カン</t>
    </rPh>
    <rPh sb="6" eb="8">
      <t>キセイ</t>
    </rPh>
    <rPh sb="8" eb="11">
      <t>キジュンチ</t>
    </rPh>
    <phoneticPr fontId="22"/>
  </si>
  <si>
    <t>65dB以下</t>
  </si>
  <si>
    <t>建物に求められている機能が明確化されており、内装計画の段階で、その機能を促進するするための取り組みが具体的に示されている。（例えば、ホテル等では、生活空間としてのインテリアを意識して、木や石などの天然素材を導入してリビング的な演出を行うなどの積極的な工夫を行う等。）</t>
  </si>
  <si>
    <t>Dr-45</t>
  </si>
  <si>
    <t>Dr-45以上</t>
  </si>
  <si>
    <t>Dr-50以上</t>
    <rPh sb="5" eb="7">
      <t>イジョウ</t>
    </rPh>
    <phoneticPr fontId="22"/>
  </si>
  <si>
    <t>Dr-55以上</t>
    <rPh sb="5" eb="7">
      <t>イジョウ</t>
    </rPh>
    <phoneticPr fontId="22"/>
  </si>
  <si>
    <t>学</t>
    <rPh sb="0" eb="1">
      <t>ガク</t>
    </rPh>
    <phoneticPr fontId="22"/>
  </si>
  <si>
    <t>吸音</t>
    <rPh sb="0" eb="2">
      <t>キュウオン</t>
    </rPh>
    <phoneticPr fontId="22"/>
  </si>
  <si>
    <t>建物全体・共用部分</t>
    <phoneticPr fontId="22"/>
  </si>
  <si>
    <t>事・学・物・飲・会・病・ホ・工</t>
    <rPh sb="4" eb="5">
      <t>モノ</t>
    </rPh>
    <rPh sb="6" eb="7">
      <t>イン</t>
    </rPh>
    <rPh sb="8" eb="9">
      <t>カイ</t>
    </rPh>
    <phoneticPr fontId="22"/>
  </si>
  <si>
    <t>吸音材を使用していない。</t>
    <rPh sb="4" eb="6">
      <t>シヨウ</t>
    </rPh>
    <phoneticPr fontId="22"/>
  </si>
  <si>
    <t>壁、床、天井のうち一面に吸音材を使用している。</t>
    <rPh sb="9" eb="11">
      <t>イチメン</t>
    </rPh>
    <rPh sb="16" eb="18">
      <t>シヨウ</t>
    </rPh>
    <phoneticPr fontId="22"/>
  </si>
  <si>
    <t>温熱環境</t>
    <rPh sb="0" eb="2">
      <t>オンネツ</t>
    </rPh>
    <rPh sb="2" eb="4">
      <t>カンキョウ</t>
    </rPh>
    <phoneticPr fontId="22"/>
  </si>
  <si>
    <t>室温制御</t>
    <rPh sb="0" eb="2">
      <t>シツオン</t>
    </rPh>
    <rPh sb="2" eb="4">
      <t>セイギョ</t>
    </rPh>
    <phoneticPr fontId="22"/>
  </si>
  <si>
    <t>住居・宿泊部分</t>
  </si>
  <si>
    <t>病(待)・ホ・工・住</t>
    <rPh sb="2" eb="3">
      <t>マ</t>
    </rPh>
    <phoneticPr fontId="22"/>
  </si>
  <si>
    <t>病(診)</t>
    <rPh sb="2" eb="3">
      <t>ミ</t>
    </rPh>
    <phoneticPr fontId="22"/>
  </si>
  <si>
    <t>学（小中高）</t>
    <rPh sb="2" eb="5">
      <t>ショウチュウコウ</t>
    </rPh>
    <phoneticPr fontId="22"/>
  </si>
  <si>
    <t>レベル２を満たさない。</t>
  </si>
  <si>
    <t>居住域の上下温度差や気流速度について特に配慮していない空調方式が計画されている。</t>
    <phoneticPr fontId="22"/>
  </si>
  <si>
    <t>通常の空調方式であるが、居住域の上下温度差や気流速度に配慮した給排気計画がなされている。</t>
    <phoneticPr fontId="22"/>
  </si>
  <si>
    <t>通常の空調方式であるが、居住域の上下温度差や気流速度および診療室内の間仕切りなどに配慮した給排気計画がなされている。</t>
    <phoneticPr fontId="22"/>
  </si>
  <si>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t>
    </r>
    <phoneticPr fontId="22"/>
  </si>
  <si>
    <t>居住域の上下温度差や気流速度が少なくなり、また診療室内の間仕切りに配慮された空調方式*が採用されている。</t>
    <phoneticPr fontId="22"/>
  </si>
  <si>
    <t>空調居住域の上下温度差、気流速度や非空調部屋との室間温度差などが少なくなるように配慮された空調方式が計画されている。</t>
    <phoneticPr fontId="22"/>
  </si>
  <si>
    <t>居住域の上下温度差や気流速度について特に配慮していない空調方式が計画されている。</t>
    <phoneticPr fontId="22"/>
  </si>
  <si>
    <t>空調居住域の上下温度差、気流速度や非空調部屋との室間温度差などについて特に配慮していない空調方式が採用されている。</t>
    <phoneticPr fontId="22"/>
  </si>
  <si>
    <t>再生材料を用いた舗装用ブロック（プレキャスト無筋コンクリート）</t>
    <rPh sb="0" eb="2">
      <t>サイセイ</t>
    </rPh>
    <rPh sb="2" eb="4">
      <t>ザイリョウ</t>
    </rPh>
    <rPh sb="5" eb="6">
      <t>モチ</t>
    </rPh>
    <rPh sb="8" eb="11">
      <t>ホソウヨウ</t>
    </rPh>
    <rPh sb="22" eb="24">
      <t>ムキン</t>
    </rPh>
    <phoneticPr fontId="22"/>
  </si>
  <si>
    <t>製材</t>
    <rPh sb="0" eb="2">
      <t>セイザイ</t>
    </rPh>
    <phoneticPr fontId="22"/>
  </si>
  <si>
    <t>雨水の排水溝等</t>
    <rPh sb="0" eb="2">
      <t>アマミズ</t>
    </rPh>
    <rPh sb="3" eb="6">
      <t>ハイスイコウ</t>
    </rPh>
    <rPh sb="6" eb="7">
      <t>トウ</t>
    </rPh>
    <phoneticPr fontId="22"/>
  </si>
  <si>
    <t>耐用性・信頼性</t>
    <rPh sb="4" eb="6">
      <t>シンライ</t>
    </rPh>
    <rPh sb="6" eb="7">
      <t>セイ</t>
    </rPh>
    <phoneticPr fontId="2"/>
  </si>
  <si>
    <t>耐震･免震</t>
    <rPh sb="0" eb="2">
      <t>タイシン</t>
    </rPh>
    <rPh sb="3" eb="4">
      <t>メン</t>
    </rPh>
    <rPh sb="4" eb="5">
      <t>フル</t>
    </rPh>
    <phoneticPr fontId="2"/>
  </si>
  <si>
    <t>免震・制振性能</t>
    <rPh sb="5" eb="7">
      <t>セイノウ</t>
    </rPh>
    <phoneticPr fontId="2"/>
  </si>
  <si>
    <t>部品・部材の耐用年数</t>
    <rPh sb="0" eb="2">
      <t>ブヒン</t>
    </rPh>
    <rPh sb="3" eb="4">
      <t>ブ</t>
    </rPh>
    <rPh sb="4" eb="5">
      <t>ザイ</t>
    </rPh>
    <rPh sb="6" eb="8">
      <t>タイヨウ</t>
    </rPh>
    <rPh sb="8" eb="10">
      <t>ネンスウ</t>
    </rPh>
    <phoneticPr fontId="2"/>
  </si>
  <si>
    <t>躯体材料の耐用年数</t>
    <rPh sb="0" eb="2">
      <t>クタイ</t>
    </rPh>
    <rPh sb="2" eb="4">
      <t>ザイリョウ</t>
    </rPh>
    <rPh sb="5" eb="7">
      <t>タイヨウ</t>
    </rPh>
    <rPh sb="7" eb="9">
      <t>ネンスウ</t>
    </rPh>
    <phoneticPr fontId="2"/>
  </si>
  <si>
    <t>空調換気ダクトの更新必要間隔</t>
    <rPh sb="0" eb="2">
      <t>クウチョウ</t>
    </rPh>
    <rPh sb="2" eb="4">
      <t>カンキ</t>
    </rPh>
    <phoneticPr fontId="2"/>
  </si>
  <si>
    <t>空調・給排水配管の更新必要間隔</t>
    <rPh sb="0" eb="2">
      <t>クウチョウ</t>
    </rPh>
    <rPh sb="3" eb="4">
      <t>キュウ</t>
    </rPh>
    <rPh sb="4" eb="6">
      <t>ハイスイ</t>
    </rPh>
    <rPh sb="6" eb="8">
      <t>ハイカン</t>
    </rPh>
    <phoneticPr fontId="2"/>
  </si>
  <si>
    <t>適切な更新</t>
    <rPh sb="0" eb="2">
      <t>テキセツ</t>
    </rPh>
    <rPh sb="3" eb="5">
      <t>コウシン</t>
    </rPh>
    <phoneticPr fontId="2"/>
  </si>
  <si>
    <t>屋上（屋根）・外壁仕上げ材の更新</t>
    <rPh sb="0" eb="2">
      <t>オクジョウ</t>
    </rPh>
    <rPh sb="3" eb="5">
      <t>ヤネ</t>
    </rPh>
    <rPh sb="7" eb="9">
      <t>ガイヘキ</t>
    </rPh>
    <rPh sb="9" eb="11">
      <t>シア</t>
    </rPh>
    <rPh sb="12" eb="13">
      <t>ザイ</t>
    </rPh>
    <rPh sb="14" eb="16">
      <t>コウシン</t>
    </rPh>
    <phoneticPr fontId="2"/>
  </si>
  <si>
    <t>配管・配線材の更新</t>
    <rPh sb="0" eb="2">
      <t>ハイカン</t>
    </rPh>
    <rPh sb="3" eb="5">
      <t>ハイセン</t>
    </rPh>
    <rPh sb="5" eb="6">
      <t>ザイ</t>
    </rPh>
    <rPh sb="7" eb="9">
      <t>コウシン</t>
    </rPh>
    <phoneticPr fontId="2"/>
  </si>
  <si>
    <t>主要設備機器の更新</t>
    <rPh sb="0" eb="2">
      <t>シュヨウ</t>
    </rPh>
    <rPh sb="2" eb="4">
      <t>セツビ</t>
    </rPh>
    <rPh sb="4" eb="6">
      <t>キキ</t>
    </rPh>
    <rPh sb="7" eb="9">
      <t>コウシン</t>
    </rPh>
    <phoneticPr fontId="2"/>
  </si>
  <si>
    <t>信頼性</t>
    <rPh sb="0" eb="3">
      <t>シンライセイ</t>
    </rPh>
    <phoneticPr fontId="2"/>
  </si>
  <si>
    <t>バックアップスペースの確保</t>
    <rPh sb="11" eb="13">
      <t>カクホ</t>
    </rPh>
    <phoneticPr fontId="2"/>
  </si>
  <si>
    <t>非住宅</t>
    <rPh sb="0" eb="1">
      <t>ヒ</t>
    </rPh>
    <rPh sb="1" eb="3">
      <t>ジュウタク</t>
    </rPh>
    <phoneticPr fontId="22"/>
  </si>
  <si>
    <t xml:space="preserve"> 非住宅　小計</t>
    <rPh sb="1" eb="2">
      <t>ヒ</t>
    </rPh>
    <rPh sb="2" eb="4">
      <t>ジュウタク</t>
    </rPh>
    <rPh sb="5" eb="7">
      <t>ショウケイ</t>
    </rPh>
    <phoneticPr fontId="22"/>
  </si>
  <si>
    <t>上記以外</t>
    <rPh sb="0" eb="2">
      <t>ジョウキ</t>
    </rPh>
    <rPh sb="2" eb="4">
      <t>イガイ</t>
    </rPh>
    <phoneticPr fontId="22"/>
  </si>
  <si>
    <t xml:space="preserve"> Q2 1.3</t>
  </si>
  <si>
    <t>総合的な取組み</t>
    <rPh sb="0" eb="3">
      <t>ソウゴウテキ</t>
    </rPh>
    <rPh sb="4" eb="5">
      <t>ト</t>
    </rPh>
    <rPh sb="5" eb="6">
      <t>ク</t>
    </rPh>
    <phoneticPr fontId="22"/>
  </si>
  <si>
    <t>維持管理に配慮した設計</t>
    <rPh sb="0" eb="2">
      <t>イジ</t>
    </rPh>
    <rPh sb="2" eb="4">
      <t>カンリ</t>
    </rPh>
    <rPh sb="5" eb="7">
      <t>ハイリョ</t>
    </rPh>
    <rPh sb="9" eb="11">
      <t>セッケイ</t>
    </rPh>
    <phoneticPr fontId="22"/>
  </si>
  <si>
    <t>1.3.2</t>
  </si>
  <si>
    <t>清掃管理業務</t>
    <rPh sb="0" eb="2">
      <t>セイソウ</t>
    </rPh>
    <rPh sb="2" eb="4">
      <t>カンリ</t>
    </rPh>
    <rPh sb="4" eb="6">
      <t>ギョウム</t>
    </rPh>
    <phoneticPr fontId="22"/>
  </si>
  <si>
    <t>維持管理用機能の確保</t>
    <rPh sb="0" eb="2">
      <t>イジ</t>
    </rPh>
    <rPh sb="2" eb="5">
      <t>カンリヨウ</t>
    </rPh>
    <rPh sb="5" eb="7">
      <t>キノウ</t>
    </rPh>
    <rPh sb="8" eb="10">
      <t>カクホ</t>
    </rPh>
    <phoneticPr fontId="22"/>
  </si>
  <si>
    <t>1.3.3</t>
  </si>
  <si>
    <t>耐用性・信頼性</t>
    <rPh sb="4" eb="6">
      <t>シンライ</t>
    </rPh>
    <rPh sb="6" eb="7">
      <t>セイ</t>
    </rPh>
    <phoneticPr fontId="22"/>
  </si>
  <si>
    <t xml:space="preserve"> Q2 2</t>
  </si>
  <si>
    <t xml:space="preserve"> Q2 2.1</t>
  </si>
  <si>
    <t>耐震性</t>
  </si>
  <si>
    <t>免震・制振性能</t>
    <rPh sb="5" eb="7">
      <t>セイノウ</t>
    </rPh>
    <phoneticPr fontId="22"/>
  </si>
  <si>
    <t xml:space="preserve"> Q2 2.2</t>
  </si>
  <si>
    <t>外壁仕上げ材の補修必要間隔</t>
  </si>
  <si>
    <t>主要内装仕上げ材の更新必要間隔</t>
  </si>
  <si>
    <t>空調換気ダクトの更新必要間隔</t>
    <rPh sb="0" eb="2">
      <t>クウチョウ</t>
    </rPh>
    <rPh sb="2" eb="4">
      <t>カンキ</t>
    </rPh>
    <phoneticPr fontId="22"/>
  </si>
  <si>
    <t>空調・給排水配管の更新必要間隔</t>
    <rPh sb="0" eb="2">
      <t>クウチョウ</t>
    </rPh>
    <rPh sb="3" eb="4">
      <t>キュウ</t>
    </rPh>
    <rPh sb="4" eb="6">
      <t>ハイスイ</t>
    </rPh>
    <rPh sb="6" eb="8">
      <t>ハイカン</t>
    </rPh>
    <phoneticPr fontId="22"/>
  </si>
  <si>
    <t>主要設備機器の更新必要間隔</t>
  </si>
  <si>
    <t xml:space="preserve"> Q2 2.3</t>
  </si>
  <si>
    <t>主要設備機器の更新</t>
    <rPh sb="0" eb="2">
      <t>シュヨウ</t>
    </rPh>
    <rPh sb="2" eb="4">
      <t>セツビ</t>
    </rPh>
    <rPh sb="4" eb="6">
      <t>キキ</t>
    </rPh>
    <rPh sb="7" eb="9">
      <t>コウシン</t>
    </rPh>
    <phoneticPr fontId="22"/>
  </si>
  <si>
    <t xml:space="preserve"> Q2 2.4</t>
  </si>
  <si>
    <t>空調・換気設備</t>
  </si>
  <si>
    <t>2.4.2</t>
  </si>
  <si>
    <t>給排水・衛生設備</t>
  </si>
  <si>
    <t>2.4.3</t>
  </si>
  <si>
    <t>電気設備</t>
  </si>
  <si>
    <t>2.4.4</t>
  </si>
  <si>
    <t>機械・配管支持方法</t>
  </si>
  <si>
    <t>2.4.5</t>
  </si>
  <si>
    <t>通信・情報設備</t>
  </si>
  <si>
    <t>木　材</t>
    <rPh sb="0" eb="1">
      <t>キ</t>
    </rPh>
    <rPh sb="2" eb="3">
      <t>ザイ</t>
    </rPh>
    <phoneticPr fontId="22"/>
  </si>
  <si>
    <t>飲食店</t>
    <rPh sb="0" eb="2">
      <t>インショク</t>
    </rPh>
    <rPh sb="2" eb="3">
      <t>テン</t>
    </rPh>
    <phoneticPr fontId="22"/>
  </si>
  <si>
    <t>集合住宅</t>
    <rPh sb="0" eb="2">
      <t>シュウゴウ</t>
    </rPh>
    <rPh sb="2" eb="4">
      <t>ジュウタク</t>
    </rPh>
    <phoneticPr fontId="22"/>
  </si>
  <si>
    <t>2-2.　合計の計算</t>
    <rPh sb="5" eb="7">
      <t>ゴウケイ</t>
    </rPh>
    <rPh sb="8" eb="10">
      <t>ケイサン</t>
    </rPh>
    <phoneticPr fontId="22"/>
  </si>
  <si>
    <t>3-1.　建築物の取組み（②）</t>
    <rPh sb="5" eb="8">
      <t>ケンチクブツ</t>
    </rPh>
    <rPh sb="9" eb="11">
      <t>トリク</t>
    </rPh>
    <phoneticPr fontId="22"/>
  </si>
  <si>
    <t>参照値（①）</t>
    <rPh sb="0" eb="2">
      <t>サンショウ</t>
    </rPh>
    <rPh sb="2" eb="3">
      <t>チ</t>
    </rPh>
    <phoneticPr fontId="22"/>
  </si>
  <si>
    <t>3-2.　上記+上記以外のオンサイト手法（③）</t>
    <rPh sb="5" eb="7">
      <t>ジョウキ</t>
    </rPh>
    <rPh sb="8" eb="10">
      <t>ジョウキ</t>
    </rPh>
    <rPh sb="10" eb="12">
      <t>イガイ</t>
    </rPh>
    <rPh sb="18" eb="20">
      <t>シュホウ</t>
    </rPh>
    <phoneticPr fontId="22"/>
  </si>
  <si>
    <t>削減量</t>
    <rPh sb="0" eb="2">
      <t>サクゲン</t>
    </rPh>
    <rPh sb="2" eb="3">
      <t>リョウ</t>
    </rPh>
    <phoneticPr fontId="22"/>
  </si>
  <si>
    <t>空地率が、
　　・40％以上60％未満の場合　 (1ポイント)
　　・60％以上80％未満の場合　 (2ポイント)
　　・80％以上 (3ポイント)</t>
    <phoneticPr fontId="22"/>
  </si>
  <si>
    <t>II夏期における日陰を形成し、敷地内歩行者空間等の暑熱環境を緩和する</t>
    <phoneticPr fontId="22"/>
  </si>
  <si>
    <t>中・高木、ピロティ等の水平投影面積率が、
　　・10％以上20％未満の場合　 (1ポイント)
　　・20％以上30％未満の場合　 (2ポイント)
　　・30％以上の場合 (3ポイント)</t>
    <phoneticPr fontId="22"/>
  </si>
  <si>
    <t>III敷地内に緑地や水面等を確保し、敷地内歩行者空間等の暑熱環境を緩和する</t>
    <phoneticPr fontId="22"/>
  </si>
  <si>
    <t>舗装面積率が、
　　・20％以上30％未満の場合 (1ポイント)
　　・10％以上20％未満の場合 (2ポイント)
　　・10％未満の場合　 (3ポイント)</t>
    <phoneticPr fontId="22"/>
  </si>
  <si>
    <t>IV建築外装材料に配慮し、敷地内歩行空間等の暑熱環境を緩和する</t>
    <phoneticPr fontId="22"/>
  </si>
  <si>
    <t>合計  [1]</t>
    <phoneticPr fontId="22"/>
  </si>
  <si>
    <t>自家消費分</t>
    <phoneticPr fontId="22"/>
  </si>
  <si>
    <t>地域区分Ⅲ</t>
  </si>
  <si>
    <t>1）概要入力</t>
    <rPh sb="2" eb="4">
      <t>ガイヨウ</t>
    </rPh>
    <rPh sb="4" eb="6">
      <t>ニュウリョク</t>
    </rPh>
    <phoneticPr fontId="22"/>
  </si>
  <si>
    <t>地域区分Ⅳ</t>
  </si>
  <si>
    <t>① 建物概要</t>
    <rPh sb="2" eb="4">
      <t>タテモノ</t>
    </rPh>
    <rPh sb="4" eb="6">
      <t>ガイヨウ</t>
    </rPh>
    <phoneticPr fontId="22"/>
  </si>
  <si>
    <t>地域区分Ⅴ</t>
  </si>
  <si>
    <t>地域区分Ⅵ</t>
  </si>
  <si>
    <t>○○県○○市</t>
    <rPh sb="2" eb="3">
      <t>ケン</t>
    </rPh>
    <rPh sb="5" eb="6">
      <t>シ</t>
    </rPh>
    <phoneticPr fontId="22"/>
  </si>
  <si>
    <t>3.3.1</t>
    <phoneticPr fontId="22"/>
  </si>
  <si>
    <t>照度</t>
    <phoneticPr fontId="22"/>
  </si>
  <si>
    <t>3.3.2</t>
    <phoneticPr fontId="22"/>
  </si>
  <si>
    <t>※個別計算</t>
    <rPh sb="1" eb="3">
      <t>コベツ</t>
    </rPh>
    <rPh sb="3" eb="5">
      <t>ケイサン</t>
    </rPh>
    <phoneticPr fontId="22"/>
  </si>
  <si>
    <t>室内全体に対して照明制御盤、器具等による大まかな調整ができる。</t>
    <phoneticPr fontId="22"/>
  </si>
  <si>
    <t>レベル３を満たしている。かつ、部分的に自動調光ができる。</t>
    <phoneticPr fontId="22"/>
  </si>
  <si>
    <t>4500N/㎡以上</t>
    <phoneticPr fontId="22"/>
  </si>
  <si>
    <t>5200N/㎡以上</t>
    <phoneticPr fontId="22"/>
  </si>
  <si>
    <t>3500N/㎡以上</t>
    <phoneticPr fontId="22"/>
  </si>
  <si>
    <t>2900N/㎡以上</t>
    <phoneticPr fontId="22"/>
  </si>
  <si>
    <t>設備の更新性</t>
    <rPh sb="0" eb="2">
      <t>セツビ</t>
    </rPh>
    <rPh sb="3" eb="5">
      <t>コウシン</t>
    </rPh>
    <rPh sb="5" eb="6">
      <t>セイ</t>
    </rPh>
    <phoneticPr fontId="22"/>
  </si>
  <si>
    <t>構造部材を痛めなければ空調配管の更新・修繕ができない。</t>
  </si>
  <si>
    <t>構造部材、仕上げ材を痛めなければ修繕、更新できない。</t>
  </si>
  <si>
    <t>IV 防犯性の配慮</t>
    <rPh sb="7" eb="9">
      <t>ハイリョ</t>
    </rPh>
    <phoneticPr fontId="22"/>
  </si>
  <si>
    <t>新築はなし</t>
    <rPh sb="0" eb="2">
      <t>シンチク</t>
    </rPh>
    <phoneticPr fontId="22"/>
  </si>
  <si>
    <t>V 屋外施設等の適切な維持管理（植栽管理を除く）</t>
    <rPh sb="2" eb="4">
      <t>オクガイ</t>
    </rPh>
    <rPh sb="4" eb="6">
      <t>シセツ</t>
    </rPh>
    <rPh sb="6" eb="7">
      <t>トウ</t>
    </rPh>
    <rPh sb="8" eb="10">
      <t>テキセツ</t>
    </rPh>
    <rPh sb="11" eb="13">
      <t>イジ</t>
    </rPh>
    <rPh sb="13" eb="15">
      <t>カンリ</t>
    </rPh>
    <rPh sb="16" eb="18">
      <t>ショクサイ</t>
    </rPh>
    <rPh sb="18" eb="20">
      <t>カンリ</t>
    </rPh>
    <rPh sb="21" eb="22">
      <t>ノゾ</t>
    </rPh>
    <phoneticPr fontId="22"/>
  </si>
  <si>
    <t>7) 屋外施設等の適切な維持管理の実施
屋外施設等（舗装・ファニチャー等）について適切な維持管理（清掃・洗浄・補修等）が実施されている。</t>
    <rPh sb="3" eb="5">
      <t>オクガイ</t>
    </rPh>
    <rPh sb="5" eb="7">
      <t>シセツ</t>
    </rPh>
    <rPh sb="7" eb="8">
      <t>トウ</t>
    </rPh>
    <rPh sb="9" eb="11">
      <t>テキセツ</t>
    </rPh>
    <rPh sb="12" eb="14">
      <t>イジ</t>
    </rPh>
    <rPh sb="14" eb="16">
      <t>カンリ</t>
    </rPh>
    <rPh sb="17" eb="19">
      <t>ジッシ</t>
    </rPh>
    <rPh sb="20" eb="22">
      <t>オクガイ</t>
    </rPh>
    <rPh sb="22" eb="24">
      <t>シセツ</t>
    </rPh>
    <rPh sb="24" eb="25">
      <t>トウ</t>
    </rPh>
    <rPh sb="26" eb="28">
      <t>ホソウ</t>
    </rPh>
    <rPh sb="35" eb="36">
      <t>トウ</t>
    </rPh>
    <rPh sb="41" eb="43">
      <t>テキセツ</t>
    </rPh>
    <rPh sb="44" eb="46">
      <t>イジ</t>
    </rPh>
    <rPh sb="46" eb="48">
      <t>カンリ</t>
    </rPh>
    <rPh sb="49" eb="51">
      <t>セイソウ</t>
    </rPh>
    <rPh sb="52" eb="54">
      <t>センジョウ</t>
    </rPh>
    <rPh sb="55" eb="57">
      <t>ホシュウ</t>
    </rPh>
    <rPh sb="57" eb="58">
      <t>トウ</t>
    </rPh>
    <rPh sb="60" eb="62">
      <t>ジッシ</t>
    </rPh>
    <phoneticPr fontId="22"/>
  </si>
  <si>
    <t>V 建物利用者等の参加性</t>
    <rPh sb="2" eb="4">
      <t>タテモノ</t>
    </rPh>
    <rPh sb="4" eb="7">
      <t>リヨウシャ</t>
    </rPh>
    <rPh sb="7" eb="8">
      <t>トウ</t>
    </rPh>
    <rPh sb="9" eb="12">
      <t>サンカセイ</t>
    </rPh>
    <phoneticPr fontId="22"/>
  </si>
  <si>
    <t>評価する取組み表の評価ポイントの合計値が0ポイント</t>
  </si>
  <si>
    <t>評価する取組み表の評価ポイントの合計値が1～5ポイント</t>
  </si>
  <si>
    <t>評価する取組み表の評価ポイントの合計値が6～11ポイント</t>
  </si>
  <si>
    <t>評価する取組み表の評価ポイントの合計値が12～17ポイント</t>
  </si>
  <si>
    <t>評価建物(③)の電力消費量</t>
    <phoneticPr fontId="22"/>
  </si>
  <si>
    <r>
      <t>kg-CO</t>
    </r>
    <r>
      <rPr>
        <vertAlign val="subscript"/>
        <sz val="10"/>
        <rFont val="ＭＳ Ｐゴシック"/>
        <family val="3"/>
        <charset val="128"/>
      </rPr>
      <t>2</t>
    </r>
    <r>
      <rPr>
        <sz val="10"/>
        <rFont val="ＭＳ Ｐゴシック"/>
        <family val="3"/>
        <charset val="128"/>
      </rPr>
      <t>/kWh</t>
    </r>
    <phoneticPr fontId="22"/>
  </si>
  <si>
    <t>実排出量との差</t>
    <phoneticPr fontId="22"/>
  </si>
  <si>
    <t>病院o</t>
    <phoneticPr fontId="22"/>
  </si>
  <si>
    <t>　　・人が出入りできる屋上があり、一部緑化している場合(2ポイント)
　　・人が出入りできる屋上を広範囲で緑化している場合(3ポイント)</t>
    <phoneticPr fontId="22"/>
  </si>
  <si>
    <r>
      <t xml:space="preserve">3.2.3 </t>
    </r>
    <r>
      <rPr>
        <b/>
        <sz val="10"/>
        <rFont val="ＭＳ Ｐゴシック"/>
        <family val="3"/>
        <charset val="128"/>
      </rPr>
      <t>冷媒</t>
    </r>
    <rPh sb="6" eb="8">
      <t>レイバイ</t>
    </rPh>
    <phoneticPr fontId="22"/>
  </si>
  <si>
    <t>HCFCの冷媒を使用している。</t>
  </si>
  <si>
    <t>ODP=0の冷媒を使用している。</t>
  </si>
  <si>
    <t>自然冷媒・新冷凍システム（ODP=0）を使用し、かつGWP50未満の冷媒を使用している。</t>
  </si>
  <si>
    <t>ハロン消火剤の使用が認められるクリティカルユース用途   消防予第87号　消防危第84号　(平成17年4月28日)</t>
    <rPh sb="4" eb="5">
      <t>カ</t>
    </rPh>
    <phoneticPr fontId="22"/>
  </si>
  <si>
    <t>使用用途の種類</t>
  </si>
  <si>
    <t>用途例</t>
  </si>
  <si>
    <t>居室面積の1/10以上の開閉可能な窓を確保している。</t>
    <phoneticPr fontId="22"/>
  </si>
  <si>
    <t>評価点</t>
    <rPh sb="0" eb="3">
      <t>ヒョウカテン</t>
    </rPh>
    <phoneticPr fontId="22"/>
  </si>
  <si>
    <t>重み
係数</t>
    <rPh sb="0" eb="1">
      <t>オモ</t>
    </rPh>
    <phoneticPr fontId="22"/>
  </si>
  <si>
    <t>全体</t>
  </si>
  <si>
    <t>室内環境</t>
  </si>
  <si>
    <t>音環境</t>
    <rPh sb="0" eb="1">
      <t>ｵﾄ</t>
    </rPh>
    <rPh sb="1" eb="3">
      <t>ｶﾝｷｮｳ</t>
    </rPh>
    <phoneticPr fontId="35" type="noConversion"/>
  </si>
  <si>
    <t>室内騒音レベル</t>
    <phoneticPr fontId="22"/>
  </si>
  <si>
    <t>設備騒音対策</t>
    <phoneticPr fontId="22"/>
  </si>
  <si>
    <t>遮音</t>
  </si>
  <si>
    <t>雨水利用率＝</t>
    <rPh sb="0" eb="2">
      <t>アマミズ</t>
    </rPh>
    <rPh sb="2" eb="4">
      <t>リヨウ</t>
    </rPh>
    <rPh sb="4" eb="5">
      <t>リツ</t>
    </rPh>
    <phoneticPr fontId="22"/>
  </si>
  <si>
    <t>雨水利用予測量（m³）</t>
    <rPh sb="4" eb="6">
      <t>ヨソク</t>
    </rPh>
    <phoneticPr fontId="22"/>
  </si>
  <si>
    <t>全体の用水予測量（上水+雨水利用量+雑排水利用量）（m³）</t>
    <rPh sb="0" eb="2">
      <t>ゼンタイ</t>
    </rPh>
    <rPh sb="3" eb="5">
      <t>ヨウスイ</t>
    </rPh>
    <rPh sb="5" eb="7">
      <t>ヨソク</t>
    </rPh>
    <rPh sb="7" eb="8">
      <t>リョウ</t>
    </rPh>
    <rPh sb="18" eb="21">
      <t>ザツハイスイ</t>
    </rPh>
    <rPh sb="21" eb="23">
      <t>リヨウ</t>
    </rPh>
    <rPh sb="23" eb="24">
      <t>リョウ</t>
    </rPh>
    <phoneticPr fontId="22"/>
  </si>
  <si>
    <t>学(小中高)</t>
    <rPh sb="0" eb="1">
      <t>ガク</t>
    </rPh>
    <rPh sb="2" eb="3">
      <t>ショウ</t>
    </rPh>
    <rPh sb="3" eb="4">
      <t>チュウ</t>
    </rPh>
    <rPh sb="4" eb="5">
      <t>コウ</t>
    </rPh>
    <phoneticPr fontId="22"/>
  </si>
  <si>
    <t>■使用評価マニュアル：</t>
    <rPh sb="1" eb="3">
      <t>シヨウ</t>
    </rPh>
    <rPh sb="3" eb="5">
      <t>ヒョウカ</t>
    </rPh>
    <phoneticPr fontId="22"/>
  </si>
  <si>
    <t>ビルマルチエアコン室外機等からの騒音</t>
    <rPh sb="9" eb="12">
      <t>シツガイキ</t>
    </rPh>
    <rPh sb="12" eb="13">
      <t>トウ</t>
    </rPh>
    <rPh sb="16" eb="18">
      <t>ソウオン</t>
    </rPh>
    <phoneticPr fontId="22"/>
  </si>
  <si>
    <t>防音塀、遮蔽体、防振支持、位置など</t>
    <rPh sb="0" eb="2">
      <t>ボウオン</t>
    </rPh>
    <rPh sb="2" eb="3">
      <t>ヘイ</t>
    </rPh>
    <rPh sb="4" eb="6">
      <t>シャヘイ</t>
    </rPh>
    <rPh sb="6" eb="7">
      <t>タイ</t>
    </rPh>
    <rPh sb="8" eb="12">
      <t>ボウシンシジ</t>
    </rPh>
    <rPh sb="13" eb="15">
      <t>イチ</t>
    </rPh>
    <phoneticPr fontId="22"/>
  </si>
  <si>
    <t>項目</t>
    <rPh sb="0" eb="2">
      <t>コウモク</t>
    </rPh>
    <phoneticPr fontId="22"/>
  </si>
  <si>
    <t>B．住宅における設備騒音対策の評価する取組み</t>
    <rPh sb="2" eb="4">
      <t>ジュウタク</t>
    </rPh>
    <rPh sb="8" eb="10">
      <t>セツビ</t>
    </rPh>
    <rPh sb="10" eb="12">
      <t>ソウオン</t>
    </rPh>
    <rPh sb="12" eb="14">
      <t>タイサク</t>
    </rPh>
    <rPh sb="15" eb="17">
      <t>ヒョウカ</t>
    </rPh>
    <rPh sb="19" eb="20">
      <t>ト</t>
    </rPh>
    <rPh sb="20" eb="21">
      <t>ク</t>
    </rPh>
    <phoneticPr fontId="22"/>
  </si>
  <si>
    <t>住宅</t>
    <rPh sb="0" eb="2">
      <t>ジュウタク</t>
    </rPh>
    <phoneticPr fontId="22"/>
  </si>
  <si>
    <t>トイレ、浴室等の給配水音、排水音、使用音</t>
    <rPh sb="11" eb="12">
      <t>オン</t>
    </rPh>
    <rPh sb="13" eb="15">
      <t>ハイスイ</t>
    </rPh>
    <rPh sb="15" eb="16">
      <t>オン</t>
    </rPh>
    <rPh sb="17" eb="19">
      <t>シヨウ</t>
    </rPh>
    <rPh sb="19" eb="20">
      <t>オン</t>
    </rPh>
    <phoneticPr fontId="22"/>
  </si>
  <si>
    <t>宴会場</t>
    <rPh sb="0" eb="3">
      <t>エンカイジョウ</t>
    </rPh>
    <phoneticPr fontId="22"/>
  </si>
  <si>
    <t>重役室・大会議室</t>
    <rPh sb="0" eb="3">
      <t>ジュウヤクシツ</t>
    </rPh>
    <rPh sb="4" eb="8">
      <t>ダイカイギシツ</t>
    </rPh>
    <phoneticPr fontId="22"/>
  </si>
  <si>
    <t>応接室</t>
    <rPh sb="0" eb="3">
      <t>オウセツシツ</t>
    </rPh>
    <phoneticPr fontId="22"/>
  </si>
  <si>
    <t>広さ・収納性</t>
    <rPh sb="0" eb="1">
      <t>ヒロ</t>
    </rPh>
    <rPh sb="3" eb="5">
      <t>シュウノウ</t>
    </rPh>
    <rPh sb="5" eb="6">
      <t>セイ</t>
    </rPh>
    <phoneticPr fontId="22"/>
  </si>
  <si>
    <t>高度情報通信設備対応</t>
    <rPh sb="0" eb="2">
      <t>コウド</t>
    </rPh>
    <rPh sb="2" eb="4">
      <t>ジョウホウ</t>
    </rPh>
    <rPh sb="4" eb="6">
      <t>ツウシン</t>
    </rPh>
    <rPh sb="6" eb="8">
      <t>セツビ</t>
    </rPh>
    <rPh sb="8" eb="10">
      <t>タイオウ</t>
    </rPh>
    <phoneticPr fontId="22"/>
  </si>
  <si>
    <t>バリアフリー計画</t>
    <rPh sb="6" eb="8">
      <t>ケイカク</t>
    </rPh>
    <phoneticPr fontId="22"/>
  </si>
  <si>
    <t>売電分</t>
    <rPh sb="0" eb="2">
      <t>バイデン</t>
    </rPh>
    <rPh sb="2" eb="3">
      <t>ブン</t>
    </rPh>
    <phoneticPr fontId="22"/>
  </si>
  <si>
    <t>修繕・更新・解体</t>
    <rPh sb="3" eb="5">
      <t>コウシン</t>
    </rPh>
    <phoneticPr fontId="22"/>
  </si>
  <si>
    <t>レベル３程度の空調ゾーニングがなされ、さらにゾーン別に冷房・暖房の選択が可能な空調システムが計画されている。</t>
    <phoneticPr fontId="22"/>
  </si>
  <si>
    <t>60＜ [騒音レベル]</t>
    <phoneticPr fontId="22"/>
  </si>
  <si>
    <t>45＜ [騒音レベル]</t>
    <phoneticPr fontId="22"/>
  </si>
  <si>
    <t>　レベル　1</t>
    <phoneticPr fontId="22"/>
  </si>
  <si>
    <t>■レベル　1</t>
    <phoneticPr fontId="22"/>
  </si>
  <si>
    <t>-</t>
    <phoneticPr fontId="22"/>
  </si>
  <si>
    <t>(該当するレベルなし)</t>
  </si>
  <si>
    <t>50＜ [騒音レベル] ≦60</t>
    <phoneticPr fontId="22"/>
  </si>
  <si>
    <t>■自然エネルギーの直接利用量</t>
    <rPh sb="1" eb="3">
      <t>シゼン</t>
    </rPh>
    <rPh sb="9" eb="11">
      <t>チョクセツ</t>
    </rPh>
    <rPh sb="11" eb="13">
      <t>リヨウ</t>
    </rPh>
    <rPh sb="13" eb="14">
      <t>リョウ</t>
    </rPh>
    <phoneticPr fontId="22"/>
  </si>
  <si>
    <t>LCCO2算定における運用段階のエネルギー消費量(標準計算)</t>
    <rPh sb="5" eb="7">
      <t>サンテイ</t>
    </rPh>
    <rPh sb="11" eb="13">
      <t>ウンヨウ</t>
    </rPh>
    <rPh sb="13" eb="15">
      <t>ダンカイ</t>
    </rPh>
    <rPh sb="21" eb="24">
      <t>ショウヒリョウ</t>
    </rPh>
    <rPh sb="25" eb="27">
      <t>ヒョウジュン</t>
    </rPh>
    <rPh sb="27" eb="29">
      <t>ケイサン</t>
    </rPh>
    <phoneticPr fontId="22"/>
  </si>
  <si>
    <t>建物外皮の熱負荷抑制</t>
    <rPh sb="0" eb="2">
      <t>タテモノ</t>
    </rPh>
    <rPh sb="2" eb="4">
      <t>ガイヒ</t>
    </rPh>
    <rPh sb="5" eb="6">
      <t>ネツ</t>
    </rPh>
    <rPh sb="6" eb="8">
      <t>フカ</t>
    </rPh>
    <rPh sb="8" eb="10">
      <t>ヨクセイ</t>
    </rPh>
    <phoneticPr fontId="22"/>
  </si>
  <si>
    <t>空気取り入れ口は敷地周囲の状況を勘案して、汚染源のない方位に設けられている。</t>
    <phoneticPr fontId="22"/>
  </si>
  <si>
    <t>空気取り入れ口は敷地周囲の状況を勘案して、汚染源のない方位に設けられている。かつ、各種排気口と異なる方位か、または3ｍ以上離れて設置されている。</t>
    <phoneticPr fontId="22"/>
  </si>
  <si>
    <t>空気取り入れ口は敷地周囲の状況を勘案して、汚染源のない方位に設けられている。かつ、各種排気口と異なる方位で、かつ6ｍ以上離れて設置されている。</t>
    <phoneticPr fontId="22"/>
  </si>
  <si>
    <t>外気が空調機でレタンと混合され各室に熱負荷から決まる風量で配分される等、各室の負荷条件によっては、必ずしも必要な場所に必要な外気量が保証されないシステムとなっている。</t>
    <phoneticPr fontId="22"/>
  </si>
  <si>
    <t>商業建物</t>
    <rPh sb="0" eb="2">
      <t>ショウギョウ</t>
    </rPh>
    <rPh sb="2" eb="4">
      <t>タテモノ</t>
    </rPh>
    <phoneticPr fontId="22"/>
  </si>
  <si>
    <t>音楽喫茶店</t>
    <rPh sb="0" eb="2">
      <t>オンガク</t>
    </rPh>
    <rPh sb="2" eb="5">
      <t>キッサテン</t>
    </rPh>
    <phoneticPr fontId="22"/>
  </si>
  <si>
    <t>書籍店</t>
    <rPh sb="0" eb="2">
      <t>ショセキ</t>
    </rPh>
    <rPh sb="2" eb="3">
      <t>テン</t>
    </rPh>
    <phoneticPr fontId="22"/>
  </si>
  <si>
    <t>一般商店</t>
    <rPh sb="0" eb="2">
      <t>イッパン</t>
    </rPh>
    <rPh sb="2" eb="4">
      <t>ショウテン</t>
    </rPh>
    <phoneticPr fontId="22"/>
  </si>
  <si>
    <t>小会議室</t>
    <rPh sb="0" eb="4">
      <t>ショウカイギシツ</t>
    </rPh>
    <phoneticPr fontId="22"/>
  </si>
  <si>
    <t>タイプ・計算室</t>
    <rPh sb="4" eb="6">
      <t>ケイサン</t>
    </rPh>
    <rPh sb="6" eb="7">
      <t>シツ</t>
    </rPh>
    <phoneticPr fontId="22"/>
  </si>
  <si>
    <t>公共建物</t>
    <rPh sb="0" eb="2">
      <t>コウキョウ</t>
    </rPh>
    <rPh sb="2" eb="4">
      <t>タテモノ</t>
    </rPh>
    <phoneticPr fontId="22"/>
  </si>
  <si>
    <t>公会堂</t>
    <rPh sb="0" eb="3">
      <t>コウカイドウ</t>
    </rPh>
    <phoneticPr fontId="22"/>
  </si>
  <si>
    <t>美術館・博物館</t>
    <rPh sb="0" eb="2">
      <t>ビジュツ</t>
    </rPh>
    <rPh sb="2" eb="3">
      <t>カン</t>
    </rPh>
    <rPh sb="4" eb="7">
      <t>ハクブツカン</t>
    </rPh>
    <phoneticPr fontId="22"/>
  </si>
  <si>
    <t>図書閲覧室</t>
    <rPh sb="0" eb="2">
      <t>トショ</t>
    </rPh>
    <rPh sb="2" eb="4">
      <t>エツラン</t>
    </rPh>
    <rPh sb="4" eb="5">
      <t>シツ</t>
    </rPh>
    <phoneticPr fontId="22"/>
  </si>
  <si>
    <t>公会堂兼体育館</t>
    <rPh sb="0" eb="3">
      <t>コウカイドウ</t>
    </rPh>
    <rPh sb="3" eb="4">
      <t>ケン</t>
    </rPh>
    <rPh sb="4" eb="7">
      <t>タイイクカン</t>
    </rPh>
    <phoneticPr fontId="22"/>
  </si>
  <si>
    <t>屋内スポーツ施設（拡）</t>
    <rPh sb="0" eb="2">
      <t>オクナイ</t>
    </rPh>
    <rPh sb="6" eb="8">
      <t>シセツ</t>
    </rPh>
    <rPh sb="9" eb="10">
      <t>ヒロム</t>
    </rPh>
    <phoneticPr fontId="22"/>
  </si>
  <si>
    <t>学校・教会</t>
    <rPh sb="0" eb="2">
      <t>ガッコウ</t>
    </rPh>
    <rPh sb="3" eb="5">
      <t>キョウカイ</t>
    </rPh>
    <phoneticPr fontId="22"/>
  </si>
  <si>
    <t>音楽教室</t>
    <rPh sb="0" eb="2">
      <t>オンガク</t>
    </rPh>
    <rPh sb="2" eb="4">
      <t>キョウシツ</t>
    </rPh>
    <phoneticPr fontId="22"/>
  </si>
  <si>
    <t>3.1　空調設備</t>
    <rPh sb="4" eb="6">
      <t>クウチョウ</t>
    </rPh>
    <rPh sb="6" eb="8">
      <t>セツビ</t>
    </rPh>
    <phoneticPr fontId="22"/>
  </si>
  <si>
    <t>建物で消費される各種エネルギー消費量を年間に渡って把握し、消費原単位等を用いてのベンチマーク比較が行なえること。</t>
    <phoneticPr fontId="22"/>
  </si>
  <si>
    <t>歴史的遺産等</t>
    <phoneticPr fontId="22"/>
  </si>
  <si>
    <t>その他</t>
    <phoneticPr fontId="22"/>
  </si>
  <si>
    <t>プラスチック系発泡断熱材に使用された発泡剤種類</t>
    <phoneticPr fontId="22"/>
  </si>
  <si>
    <t>ＯＤＰ</t>
    <phoneticPr fontId="22"/>
  </si>
  <si>
    <t>CFC-11</t>
    <phoneticPr fontId="22"/>
  </si>
  <si>
    <t>HCFC-141b</t>
    <phoneticPr fontId="22"/>
  </si>
  <si>
    <t>HFC-134a</t>
    <phoneticPr fontId="22"/>
  </si>
  <si>
    <t>HFC-245fa</t>
    <phoneticPr fontId="22"/>
  </si>
  <si>
    <t>悪臭</t>
    <rPh sb="0" eb="2">
      <t>アクシュウ</t>
    </rPh>
    <phoneticPr fontId="22"/>
  </si>
  <si>
    <t>LR3 3.2</t>
  </si>
  <si>
    <t>LR3 3.3</t>
  </si>
  <si>
    <t>光害の抑制</t>
    <rPh sb="0" eb="1">
      <t>ﾋｶﾘ</t>
    </rPh>
    <phoneticPr fontId="35" type="noConversion"/>
  </si>
  <si>
    <t>耐震･免震</t>
    <rPh sb="0" eb="2">
      <t>タイシン</t>
    </rPh>
    <rPh sb="3" eb="4">
      <t>メン</t>
    </rPh>
    <rPh sb="4" eb="5">
      <t>フル</t>
    </rPh>
    <phoneticPr fontId="22"/>
  </si>
  <si>
    <t>部品・部材の耐用年数</t>
    <rPh sb="0" eb="2">
      <t>ブヒン</t>
    </rPh>
    <rPh sb="3" eb="4">
      <t>ブ</t>
    </rPh>
    <rPh sb="4" eb="5">
      <t>ザイ</t>
    </rPh>
    <rPh sb="6" eb="8">
      <t>タイヨウ</t>
    </rPh>
    <rPh sb="8" eb="10">
      <t>ネンスウ</t>
    </rPh>
    <phoneticPr fontId="22"/>
  </si>
  <si>
    <r>
      <t>LR1</t>
    </r>
    <r>
      <rPr>
        <b/>
        <sz val="14"/>
        <rFont val="ＭＳ Ｐゴシック"/>
        <family val="3"/>
        <charset val="128"/>
      </rPr>
      <t>　エネルギー</t>
    </r>
    <phoneticPr fontId="22"/>
  </si>
  <si>
    <t>レベル３に満たない</t>
    <phoneticPr fontId="3"/>
  </si>
  <si>
    <t>(a)　グリーン電力証書によるカーボンオフセット</t>
    <phoneticPr fontId="22"/>
  </si>
  <si>
    <t>空気取り入れ口は敷地周囲の状況を勘案して、汚染源のない方位に設けられている。かつ、各種排気口と異なる方位で、かつ6ｍ以上離れて設置されている。</t>
  </si>
  <si>
    <r>
      <t xml:space="preserve">4.2.4 </t>
    </r>
    <r>
      <rPr>
        <b/>
        <sz val="10"/>
        <rFont val="ＭＳ Ｐゴシック"/>
        <family val="3"/>
        <charset val="128"/>
      </rPr>
      <t>給気計画</t>
    </r>
    <rPh sb="6" eb="7">
      <t>キュウ</t>
    </rPh>
    <rPh sb="7" eb="8">
      <t>キ</t>
    </rPh>
    <rPh sb="8" eb="10">
      <t>ケイカク</t>
    </rPh>
    <phoneticPr fontId="22"/>
  </si>
  <si>
    <t>事・学・物・飲・会・病・ホ・工・住</t>
    <phoneticPr fontId="22"/>
  </si>
  <si>
    <t>レベル３に満たない</t>
    <phoneticPr fontId="22"/>
  </si>
  <si>
    <t>冷暖房平均COPが1.25以上の熱源機器を採用</t>
    <phoneticPr fontId="22"/>
  </si>
  <si>
    <t>レベル３に加え、空調対象面積の50％以上に全熱交換器を採用</t>
    <phoneticPr fontId="22"/>
  </si>
  <si>
    <t>＜７種類の制御方式＞
カード・センサー等による在室検知制御、明るさ感知による自動点滅制御、適正照度制御（初期照度補正）、タイムスケジュール制御、昼光利用照明制御、ゾーニング制御、局所制御</t>
    <phoneticPr fontId="22"/>
  </si>
  <si>
    <t>レベル３に満たない</t>
    <phoneticPr fontId="3"/>
  </si>
  <si>
    <t>レベル３に加え、７種類のうち２種類以上採用されている。</t>
    <phoneticPr fontId="3"/>
  </si>
  <si>
    <t>レベル３に加え、７種類のうち４種類以上採用されている。</t>
    <phoneticPr fontId="3"/>
  </si>
  <si>
    <t>1)地域の温熱環境状況に関する事前調査の実施</t>
  </si>
  <si>
    <t>既存なし</t>
    <rPh sb="0" eb="2">
      <t>キソン</t>
    </rPh>
    <phoneticPr fontId="22"/>
  </si>
  <si>
    <t>②①に加えさらに現地測定を行った場合や広域気象データや地形データに基づいた広域大気環境予測システムで補完してより詳細に調査した場合(2ポイント)</t>
  </si>
  <si>
    <t>Lr-40　またはそれより良い</t>
    <phoneticPr fontId="22"/>
  </si>
  <si>
    <t>1.2.4 界床遮音性能（重量衝撃源）</t>
    <phoneticPr fontId="22"/>
  </si>
  <si>
    <t>人のとびはねや走り回る音がうるさい。　</t>
    <phoneticPr fontId="22"/>
  </si>
  <si>
    <t>人のとびはねや走り回る音がかなり気になる。</t>
    <phoneticPr fontId="22"/>
  </si>
  <si>
    <t>人のとびはねや走り回る音がよく聞こえる。</t>
    <phoneticPr fontId="22"/>
  </si>
  <si>
    <t>人のとびはねや走り回る音が聞こえる。</t>
    <phoneticPr fontId="22"/>
  </si>
  <si>
    <t>人のとびはねや走り回る音が小さく聞こえる。</t>
    <phoneticPr fontId="22"/>
  </si>
  <si>
    <t>人のとびはねや走り回る音が聞こえるが意識することはあまりない。</t>
    <phoneticPr fontId="22"/>
  </si>
  <si>
    <t>Lr-60より悪い</t>
    <phoneticPr fontId="22"/>
  </si>
  <si>
    <t>Lr-45　またはそれより良い</t>
    <phoneticPr fontId="22"/>
  </si>
  <si>
    <t>病・ホ</t>
    <phoneticPr fontId="22"/>
  </si>
  <si>
    <t>壁、床、天井のうち二面に吸音材を使用している。</t>
    <phoneticPr fontId="22"/>
  </si>
  <si>
    <t>壁、床、天井に吸音材を使用している。</t>
    <phoneticPr fontId="22"/>
  </si>
  <si>
    <t>建物全体・共用部分</t>
    <phoneticPr fontId="22"/>
  </si>
  <si>
    <t>住</t>
    <phoneticPr fontId="22"/>
  </si>
  <si>
    <t>冬期20℃、夏期28℃と多少我慢を強いる室温設定。</t>
    <phoneticPr fontId="22"/>
  </si>
  <si>
    <t>冬期10℃以上、夏期30℃以下と多少我慢を強いる室温設定。</t>
    <phoneticPr fontId="22"/>
  </si>
  <si>
    <t>冬期18℃、夏期28℃程度と多少我慢を強いる室温設定。</t>
    <phoneticPr fontId="22"/>
  </si>
  <si>
    <t>各室において冬期18℃、夏期28℃程度を強いる設定としている。</t>
    <phoneticPr fontId="22"/>
  </si>
  <si>
    <t>一般的な冬期22℃、夏期26℃の設定。</t>
    <phoneticPr fontId="22"/>
  </si>
  <si>
    <t>←</t>
    <phoneticPr fontId="22"/>
  </si>
  <si>
    <t>■使用評価ソフト：</t>
    <rPh sb="1" eb="3">
      <t>シヨウ</t>
    </rPh>
    <rPh sb="3" eb="5">
      <t>ヒョウカ</t>
    </rPh>
    <phoneticPr fontId="22"/>
  </si>
  <si>
    <r>
      <t>1-1</t>
    </r>
    <r>
      <rPr>
        <b/>
        <sz val="12"/>
        <color indexed="9"/>
        <rFont val="ＭＳ Ｐゴシック"/>
        <family val="3"/>
        <charset val="128"/>
      </rPr>
      <t>　建物概要</t>
    </r>
    <rPh sb="4" eb="5">
      <t>ｹﾝ</t>
    </rPh>
    <rPh sb="5" eb="6">
      <t>ﾓﾉ</t>
    </rPh>
    <rPh sb="6" eb="8">
      <t>ｶﾞｲﾖｳ</t>
    </rPh>
    <phoneticPr fontId="35" type="noConversion"/>
  </si>
  <si>
    <r>
      <t>1-2</t>
    </r>
    <r>
      <rPr>
        <b/>
        <sz val="12"/>
        <color indexed="9"/>
        <rFont val="ＭＳ Ｐゴシック"/>
        <family val="3"/>
        <charset val="128"/>
      </rPr>
      <t>　外観</t>
    </r>
    <rPh sb="4" eb="6">
      <t>ガイカン</t>
    </rPh>
    <phoneticPr fontId="22"/>
  </si>
  <si>
    <t>BEE rank</t>
    <phoneticPr fontId="22"/>
  </si>
  <si>
    <t>radar chart</t>
    <phoneticPr fontId="22"/>
  </si>
  <si>
    <t>建物名称</t>
    <rPh sb="0" eb="2">
      <t>ﾀﾃﾓﾉ</t>
    </rPh>
    <rPh sb="2" eb="4">
      <t>ﾒｲｼｮｳ</t>
    </rPh>
    <phoneticPr fontId="35" type="noConversion"/>
  </si>
  <si>
    <t>階数</t>
    <rPh sb="0" eb="2">
      <t>カイスウ</t>
    </rPh>
    <phoneticPr fontId="22"/>
  </si>
  <si>
    <t>radar chart</t>
  </si>
  <si>
    <t>Score(RoundDown)</t>
    <phoneticPr fontId="22"/>
  </si>
  <si>
    <t>建設地</t>
    <rPh sb="0" eb="3">
      <t>ｹﾝｾﾂﾁ</t>
    </rPh>
    <phoneticPr fontId="35" type="noConversion"/>
  </si>
  <si>
    <t>構造</t>
    <rPh sb="0" eb="2">
      <t>コウゾウ</t>
    </rPh>
    <phoneticPr fontId="22"/>
  </si>
  <si>
    <r>
      <t xml:space="preserve">2.2.5 </t>
    </r>
    <r>
      <rPr>
        <b/>
        <sz val="10"/>
        <rFont val="ＭＳ Ｐゴシック"/>
        <family val="3"/>
        <charset val="128"/>
      </rPr>
      <t>空調・給排水配管の更新必要間隔</t>
    </r>
    <rPh sb="6" eb="8">
      <t>クウチョウ</t>
    </rPh>
    <rPh sb="9" eb="10">
      <t>キュウ</t>
    </rPh>
    <rPh sb="10" eb="12">
      <t>ハイスイ</t>
    </rPh>
    <rPh sb="12" eb="14">
      <t>ハイカン</t>
    </rPh>
    <rPh sb="15" eb="17">
      <t>コウシン</t>
    </rPh>
    <rPh sb="17" eb="19">
      <t>ヒツヨウ</t>
    </rPh>
    <rPh sb="19" eb="21">
      <t>カンカク</t>
    </rPh>
    <phoneticPr fontId="22"/>
  </si>
  <si>
    <t>７年以上～１５年未満</t>
  </si>
  <si>
    <t>主要な用途上位3種のほぼ全てにD以上を使用</t>
    <rPh sb="0" eb="2">
      <t>シュヨウ</t>
    </rPh>
    <rPh sb="3" eb="5">
      <t>ヨウト</t>
    </rPh>
    <rPh sb="5" eb="7">
      <t>ジョウイ</t>
    </rPh>
    <rPh sb="8" eb="9">
      <t>シュ</t>
    </rPh>
    <rPh sb="12" eb="13">
      <t>スベ</t>
    </rPh>
    <rPh sb="16" eb="18">
      <t>イジョウ</t>
    </rPh>
    <rPh sb="19" eb="21">
      <t>シヨウ</t>
    </rPh>
    <phoneticPr fontId="22"/>
  </si>
  <si>
    <t>１５年</t>
  </si>
  <si>
    <t>平均居住人員</t>
    <rPh sb="0" eb="2">
      <t>ﾍｲｷﾝ</t>
    </rPh>
    <rPh sb="2" eb="4">
      <t>ｷｮｼﾞｭｳ</t>
    </rPh>
    <rPh sb="4" eb="6">
      <t>ｼﾞﾝｲﾝ</t>
    </rPh>
    <phoneticPr fontId="35" type="noConversion"/>
  </si>
  <si>
    <t>人</t>
    <rPh sb="0" eb="1">
      <t>ニン</t>
    </rPh>
    <phoneticPr fontId="22"/>
  </si>
  <si>
    <r>
      <t xml:space="preserve">Q3 </t>
    </r>
    <r>
      <rPr>
        <sz val="11"/>
        <rFont val="ＭＳ Ｐゴシック"/>
        <family val="3"/>
        <charset val="128"/>
      </rPr>
      <t xml:space="preserve">室外環境
</t>
    </r>
    <r>
      <rPr>
        <sz val="11"/>
        <rFont val="Arial"/>
        <family val="2"/>
      </rPr>
      <t>(</t>
    </r>
    <r>
      <rPr>
        <sz val="11"/>
        <rFont val="ＭＳ Ｐゴシック"/>
        <family val="3"/>
        <charset val="128"/>
      </rPr>
      <t>敷地内</t>
    </r>
    <r>
      <rPr>
        <sz val="11"/>
        <rFont val="Arial"/>
        <family val="2"/>
      </rPr>
      <t>)</t>
    </r>
    <rPh sb="11" eb="12">
      <t>ナイ</t>
    </rPh>
    <phoneticPr fontId="22"/>
  </si>
  <si>
    <t>L</t>
    <phoneticPr fontId="22"/>
  </si>
  <si>
    <t>LR3 
敷地外環境</t>
    <rPh sb="5" eb="7">
      <t>シキチ</t>
    </rPh>
    <rPh sb="7" eb="8">
      <t>ガイ</t>
    </rPh>
    <rPh sb="8" eb="10">
      <t>カンキョウ</t>
    </rPh>
    <phoneticPr fontId="22"/>
  </si>
  <si>
    <t>建物用途</t>
    <rPh sb="0" eb="2">
      <t>ﾀﾃﾓﾉ</t>
    </rPh>
    <rPh sb="2" eb="4">
      <t>ﾖｳﾄ</t>
    </rPh>
    <phoneticPr fontId="35" type="noConversion"/>
  </si>
  <si>
    <t>評価の段階</t>
    <rPh sb="0" eb="2">
      <t>ヒョウカ</t>
    </rPh>
    <rPh sb="3" eb="5">
      <t>ダンカイ</t>
    </rPh>
    <phoneticPr fontId="22"/>
  </si>
  <si>
    <t>外観パース等</t>
    <rPh sb="0" eb="2">
      <t>ガイカン</t>
    </rPh>
    <rPh sb="5" eb="6">
      <t>トウ</t>
    </rPh>
    <phoneticPr fontId="22"/>
  </si>
  <si>
    <t>BEE</t>
    <phoneticPr fontId="22"/>
  </si>
  <si>
    <t>LR2 資源・
マテリアル</t>
    <rPh sb="4" eb="6">
      <t>シゲン</t>
    </rPh>
    <phoneticPr fontId="22"/>
  </si>
  <si>
    <t>レベル３を満たさない。</t>
    <phoneticPr fontId="22"/>
  </si>
  <si>
    <t>（該当するレベルなし）</t>
    <phoneticPr fontId="22"/>
  </si>
  <si>
    <t>教室の不足がある</t>
    <phoneticPr fontId="22"/>
  </si>
  <si>
    <t>1人当たりの執務スペースが6㎡以上。</t>
    <phoneticPr fontId="22"/>
  </si>
  <si>
    <t>教室の不足がない</t>
    <phoneticPr fontId="22"/>
  </si>
  <si>
    <t>（該当するレベルなし）</t>
    <phoneticPr fontId="22"/>
  </si>
  <si>
    <t>1人当たりの執務スペースが12㎡以上。</t>
    <phoneticPr fontId="22"/>
  </si>
  <si>
    <t>主要構造部が木造躯体の時</t>
    <phoneticPr fontId="22"/>
  </si>
  <si>
    <t>CO2削減量</t>
    <rPh sb="3" eb="5">
      <t>サクゲン</t>
    </rPh>
    <rPh sb="5" eb="6">
      <t>リョウ</t>
    </rPh>
    <phoneticPr fontId="22"/>
  </si>
  <si>
    <t>算定に用いた排出係数</t>
    <rPh sb="0" eb="2">
      <t>サンテイ</t>
    </rPh>
    <rPh sb="3" eb="4">
      <t>モチ</t>
    </rPh>
    <rPh sb="6" eb="8">
      <t>ハイシュツ</t>
    </rPh>
    <rPh sb="8" eb="10">
      <t>ケイスウ</t>
    </rPh>
    <phoneticPr fontId="22"/>
  </si>
  <si>
    <t>2100N/㎡以上～2900N/㎡未満</t>
    <phoneticPr fontId="22"/>
  </si>
  <si>
    <t>各住戸または各客室に電話、放送に対応した通信回線が引き込まれている。</t>
    <phoneticPr fontId="22"/>
  </si>
  <si>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以上となっている。加えて、通信に関しては、レベル２をみたすとともに、2.5坪当たり１台の情報通信機器（電話１台、PC１台）を想定した通信回線が各階に引き込まれている。</t>
    </r>
    <phoneticPr fontId="22"/>
  </si>
  <si>
    <t>レベル２を満たすとともに、レベル４に満たないインターネットサービスが提供されている。</t>
    <phoneticPr fontId="22"/>
  </si>
  <si>
    <r>
      <t>ＯＡフロア等によりレイアウト変更に対応できるようになっており、かつＯＡ機器用コンセント容量が40ＶＡ/ｍ</t>
    </r>
    <r>
      <rPr>
        <vertAlign val="superscript"/>
        <sz val="9"/>
        <rFont val="ＭＳ Ｐゴシック"/>
        <family val="3"/>
        <charset val="128"/>
      </rPr>
      <t>2</t>
    </r>
    <r>
      <rPr>
        <sz val="9"/>
        <rFont val="ＭＳ Ｐゴシック"/>
        <family val="3"/>
        <charset val="128"/>
      </rPr>
      <t>以上となっている。加えて、通信に関しては、レベル３を満たすとともに、複数の通信事業者の回線がビル内へ引き込まれており、各階への通信事業者用配線スペースが別途、確保されている。</t>
    </r>
    <phoneticPr fontId="22"/>
  </si>
  <si>
    <r>
      <t>ＯＡフロア等によりレイアウト変更に対応できるようになっており、かつＯＡ機器用コンセント容量が50ＶＡ/ｍ</t>
    </r>
    <r>
      <rPr>
        <vertAlign val="superscript"/>
        <sz val="9"/>
        <rFont val="ＭＳ Ｐゴシック"/>
        <family val="3"/>
        <charset val="128"/>
      </rPr>
      <t>2</t>
    </r>
    <r>
      <rPr>
        <sz val="9"/>
        <rFont val="ＭＳ Ｐゴシック"/>
        <family val="3"/>
        <charset val="128"/>
      </rPr>
      <t>以上となっている。加えて、通信に関しては、レベル４を満たすとともに、各階へはGigabit通信回線が引き込まれており、別途、フロア間通信のためのテナントEPSが確保されている。</t>
    </r>
    <phoneticPr fontId="22"/>
  </si>
  <si>
    <t>各住戸または各客室にGbitクラスのブロードバンドが利用可能な環境が整備されていること。</t>
    <phoneticPr fontId="22"/>
  </si>
  <si>
    <t>-</t>
    <phoneticPr fontId="22"/>
  </si>
  <si>
    <t>バリアフリー新法の建築物移動等円滑化基準（最低限のレベル）を満たしている。</t>
    <phoneticPr fontId="22"/>
  </si>
  <si>
    <t>バリアフリー新法の建築物移動等円滑化誘導基準（望ましいレベル）を満たしている。</t>
    <phoneticPr fontId="22"/>
  </si>
  <si>
    <t>バリアフリー新法の建築物移動等円滑化誘導基準（望ましいレベル）を超えてさらに十分な配慮を行っており、ユニバーサルなデザインとなっている。</t>
    <phoneticPr fontId="22"/>
  </si>
  <si>
    <r>
      <t xml:space="preserve">1.2.1 </t>
    </r>
    <r>
      <rPr>
        <b/>
        <sz val="10"/>
        <rFont val="ＭＳ Ｐゴシック"/>
        <family val="3"/>
        <charset val="128"/>
      </rPr>
      <t>広さ感・景観</t>
    </r>
    <phoneticPr fontId="22"/>
  </si>
  <si>
    <t>レベル3</t>
  </si>
  <si>
    <t>レベル4</t>
  </si>
  <si>
    <t>レベル5</t>
  </si>
  <si>
    <t>MJ/kWhで換算した値（H25]省エネ法告示全日平均）</t>
    <rPh sb="7" eb="9">
      <t>カンサン</t>
    </rPh>
    <rPh sb="11" eb="12">
      <t>アタイ</t>
    </rPh>
    <rPh sb="17" eb="18">
      <t>ショウ</t>
    </rPh>
    <rPh sb="20" eb="21">
      <t>ホウ</t>
    </rPh>
    <rPh sb="21" eb="23">
      <t>コクジ</t>
    </rPh>
    <rPh sb="23" eb="24">
      <t>ゼン</t>
    </rPh>
    <rPh sb="24" eb="25">
      <t>ヒ</t>
    </rPh>
    <rPh sb="25" eb="27">
      <t>ヘイキン</t>
    </rPh>
    <phoneticPr fontId="29"/>
  </si>
  <si>
    <t>建物用途</t>
  </si>
  <si>
    <t>官公庁</t>
  </si>
  <si>
    <t>物販店舗等</t>
    <rPh sb="0" eb="2">
      <t>ブッパン</t>
    </rPh>
    <rPh sb="2" eb="4">
      <t>テンポ</t>
    </rPh>
    <rPh sb="4" eb="5">
      <t>トウ</t>
    </rPh>
    <phoneticPr fontId="22"/>
  </si>
  <si>
    <t>その他物販</t>
  </si>
  <si>
    <t>ホテル・旅館</t>
  </si>
  <si>
    <t>学校等</t>
    <rPh sb="0" eb="2">
      <t>ガッコウ</t>
    </rPh>
    <rPh sb="2" eb="3">
      <t>トウ</t>
    </rPh>
    <phoneticPr fontId="22"/>
  </si>
  <si>
    <t>幼稚園・保育園</t>
  </si>
  <si>
    <t>小・中学校</t>
  </si>
  <si>
    <t>北海道</t>
    <rPh sb="0" eb="3">
      <t>ホッカイドウ</t>
    </rPh>
    <phoneticPr fontId="22"/>
  </si>
  <si>
    <t>高校</t>
  </si>
  <si>
    <t>大学・専門学校</t>
  </si>
  <si>
    <t>集会所等</t>
    <rPh sb="0" eb="3">
      <t>シュウカイジョ</t>
    </rPh>
    <rPh sb="3" eb="4">
      <t>トウ</t>
    </rPh>
    <phoneticPr fontId="22"/>
  </si>
  <si>
    <t>劇場・ホール</t>
  </si>
  <si>
    <t>展示施設</t>
  </si>
  <si>
    <t>スポーツ施設</t>
  </si>
  <si>
    <t>エネルギー種別一次エネルギー構成比率</t>
    <rPh sb="5" eb="7">
      <t>シュベツ</t>
    </rPh>
    <rPh sb="7" eb="9">
      <t>イチジ</t>
    </rPh>
    <rPh sb="14" eb="16">
      <t>コウセイ</t>
    </rPh>
    <rPh sb="16" eb="18">
      <t>ヒリツ</t>
    </rPh>
    <phoneticPr fontId="5"/>
  </si>
  <si>
    <t>300㎡未満</t>
    <rPh sb="4" eb="6">
      <t>ミマン</t>
    </rPh>
    <phoneticPr fontId="5"/>
  </si>
  <si>
    <t>300㎡以上
2,000㎡未満</t>
    <rPh sb="4" eb="6">
      <t>イジョウ</t>
    </rPh>
    <rPh sb="13" eb="15">
      <t>ミマン</t>
    </rPh>
    <phoneticPr fontId="5"/>
  </si>
  <si>
    <t>2,000㎡以上
1万㎡未満</t>
    <rPh sb="6" eb="8">
      <t>イジョウ</t>
    </rPh>
    <rPh sb="10" eb="11">
      <t>マン</t>
    </rPh>
    <rPh sb="12" eb="14">
      <t>ミマン</t>
    </rPh>
    <phoneticPr fontId="5"/>
  </si>
  <si>
    <t>1万㎡以上
3万㎡未満</t>
    <rPh sb="1" eb="2">
      <t>マン</t>
    </rPh>
    <rPh sb="3" eb="5">
      <t>イジョウ</t>
    </rPh>
    <rPh sb="7" eb="8">
      <t>マン</t>
    </rPh>
    <rPh sb="9" eb="11">
      <t>ミマン</t>
    </rPh>
    <phoneticPr fontId="5"/>
  </si>
  <si>
    <t>3万㎡以上</t>
    <rPh sb="1" eb="2">
      <t>マン</t>
    </rPh>
    <rPh sb="3" eb="5">
      <t>イジョウ</t>
    </rPh>
    <phoneticPr fontId="5"/>
  </si>
  <si>
    <t>電気</t>
    <rPh sb="0" eb="2">
      <t>デンキ</t>
    </rPh>
    <phoneticPr fontId="5"/>
  </si>
  <si>
    <t>その他※</t>
    <rPh sb="2" eb="3">
      <t>ホカ</t>
    </rPh>
    <phoneticPr fontId="5"/>
  </si>
  <si>
    <t>-</t>
  </si>
  <si>
    <t>※集合住宅は灯油</t>
    <rPh sb="1" eb="3">
      <t>シュウゴウ</t>
    </rPh>
    <rPh sb="3" eb="5">
      <t>ジュウタク</t>
    </rPh>
    <rPh sb="6" eb="8">
      <t>トウユ</t>
    </rPh>
    <phoneticPr fontId="22"/>
  </si>
  <si>
    <t>設備の方式</t>
  </si>
  <si>
    <t>地域区分</t>
  </si>
  <si>
    <t>暖房</t>
  </si>
  <si>
    <t>冷房</t>
  </si>
  <si>
    <t>ａ</t>
  </si>
  <si>
    <t>レベル１</t>
  </si>
  <si>
    <t>Ａ</t>
  </si>
  <si>
    <t>ｂ</t>
  </si>
  <si>
    <t>Ｂ</t>
  </si>
  <si>
    <t>Ｃ</t>
  </si>
  <si>
    <t>専有部</t>
    <rPh sb="0" eb="2">
      <t>センユウ</t>
    </rPh>
    <rPh sb="2" eb="3">
      <t>ブ</t>
    </rPh>
    <phoneticPr fontId="22"/>
  </si>
  <si>
    <t>評価建物</t>
    <rPh sb="0" eb="2">
      <t>ヒョウカ</t>
    </rPh>
    <rPh sb="2" eb="4">
      <t>タテモノ</t>
    </rPh>
    <phoneticPr fontId="22"/>
  </si>
  <si>
    <t>暖房方式</t>
    <rPh sb="0" eb="2">
      <t>ダンボウ</t>
    </rPh>
    <rPh sb="2" eb="4">
      <t>ホウシキ</t>
    </rPh>
    <phoneticPr fontId="22"/>
  </si>
  <si>
    <t>冷房方式</t>
    <rPh sb="0" eb="2">
      <t>レイボウ</t>
    </rPh>
    <rPh sb="2" eb="4">
      <t>ホウシキ</t>
    </rPh>
    <phoneticPr fontId="22"/>
  </si>
  <si>
    <t>CO2換算係数</t>
    <rPh sb="3" eb="5">
      <t>カンサン</t>
    </rPh>
    <rPh sb="5" eb="7">
      <t>ケイスウ</t>
    </rPh>
    <phoneticPr fontId="22"/>
  </si>
  <si>
    <t>㎡</t>
  </si>
  <si>
    <t>－</t>
    <phoneticPr fontId="22"/>
  </si>
  <si>
    <t xml:space="preserve">     小・中学校　(北海道)</t>
    <rPh sb="12" eb="15">
      <t>ホッカイドウ</t>
    </rPh>
    <phoneticPr fontId="22"/>
  </si>
  <si>
    <t xml:space="preserve">                     高校</t>
    <phoneticPr fontId="22"/>
  </si>
  <si>
    <t xml:space="preserve">         大学・専門学校</t>
    <phoneticPr fontId="22"/>
  </si>
  <si>
    <t>官公庁</t>
    <phoneticPr fontId="22"/>
  </si>
  <si>
    <t>その他物販</t>
    <phoneticPr fontId="22"/>
  </si>
  <si>
    <t>展示施設</t>
    <phoneticPr fontId="22"/>
  </si>
  <si>
    <t>スポーツ施設</t>
    <phoneticPr fontId="22"/>
  </si>
  <si>
    <t>㎡</t>
    <phoneticPr fontId="22"/>
  </si>
  <si>
    <t>小・中学校 (北海道以外）</t>
    <rPh sb="0" eb="1">
      <t>ショウ</t>
    </rPh>
    <rPh sb="2" eb="5">
      <t>チュウガッコウ</t>
    </rPh>
    <rPh sb="7" eb="10">
      <t>ホッカイドウ</t>
    </rPh>
    <rPh sb="10" eb="12">
      <t>イガイ</t>
    </rPh>
    <phoneticPr fontId="22"/>
  </si>
  <si>
    <t xml:space="preserve">                   共用部</t>
    <rPh sb="19" eb="21">
      <t>キョウヨウ</t>
    </rPh>
    <rPh sb="21" eb="22">
      <t>ブ</t>
    </rPh>
    <phoneticPr fontId="22"/>
  </si>
  <si>
    <t>㎡       幼稚園・保育園</t>
    <phoneticPr fontId="22"/>
  </si>
  <si>
    <t>㎡                  事務所</t>
    <phoneticPr fontId="22"/>
  </si>
  <si>
    <t>㎡   デパート・スーパー</t>
    <phoneticPr fontId="22"/>
  </si>
  <si>
    <t>㎡          劇場・ホール</t>
    <phoneticPr fontId="22"/>
  </si>
  <si>
    <t>㎡                  専用部</t>
    <rPh sb="19" eb="21">
      <t>センヨウ</t>
    </rPh>
    <rPh sb="21" eb="22">
      <t>ブ</t>
    </rPh>
    <phoneticPr fontId="22"/>
  </si>
  <si>
    <t>自然換気性能</t>
    <rPh sb="0" eb="2">
      <t>シゼン</t>
    </rPh>
    <rPh sb="2" eb="4">
      <t>カンキ</t>
    </rPh>
    <rPh sb="4" eb="6">
      <t>セイノウ</t>
    </rPh>
    <phoneticPr fontId="22"/>
  </si>
  <si>
    <t>取り入れ外気への配慮</t>
    <rPh sb="0" eb="1">
      <t>ト</t>
    </rPh>
    <rPh sb="2" eb="3">
      <t>イ</t>
    </rPh>
    <rPh sb="4" eb="6">
      <t>ガイキ</t>
    </rPh>
    <rPh sb="8" eb="10">
      <t>ハイリョ</t>
    </rPh>
    <phoneticPr fontId="22"/>
  </si>
  <si>
    <t>給気計画</t>
    <rPh sb="0" eb="1">
      <t>キュウ</t>
    </rPh>
    <rPh sb="1" eb="2">
      <t>キ</t>
    </rPh>
    <rPh sb="2" eb="4">
      <t>ケイカク</t>
    </rPh>
    <phoneticPr fontId="22"/>
  </si>
  <si>
    <t>運用管理</t>
    <rPh sb="0" eb="2">
      <t>ウンヨウ</t>
    </rPh>
    <rPh sb="2" eb="4">
      <t>カンリ</t>
    </rPh>
    <phoneticPr fontId="22"/>
  </si>
  <si>
    <r>
      <t>CO</t>
    </r>
    <r>
      <rPr>
        <vertAlign val="subscript"/>
        <sz val="10"/>
        <rFont val="ＭＳ Ｐゴシック"/>
        <family val="3"/>
        <charset val="128"/>
      </rPr>
      <t>2</t>
    </r>
    <r>
      <rPr>
        <sz val="10"/>
        <rFont val="ＭＳ Ｐゴシック"/>
        <family val="3"/>
        <charset val="128"/>
      </rPr>
      <t>の監視</t>
    </r>
    <rPh sb="4" eb="6">
      <t>カンシ</t>
    </rPh>
    <phoneticPr fontId="22"/>
  </si>
  <si>
    <t>喫煙の制御</t>
    <rPh sb="0" eb="2">
      <t>キツエン</t>
    </rPh>
    <rPh sb="3" eb="5">
      <t>セイギョ</t>
    </rPh>
    <phoneticPr fontId="22"/>
  </si>
  <si>
    <t>機能性</t>
    <rPh sb="0" eb="3">
      <t>ｷﾉｳｾｲ</t>
    </rPh>
    <phoneticPr fontId="35" type="noConversion"/>
  </si>
  <si>
    <t>機能性・使いやすさ</t>
    <rPh sb="0" eb="3">
      <t>キノウセイ</t>
    </rPh>
    <rPh sb="4" eb="5">
      <t>ツカ</t>
    </rPh>
    <phoneticPr fontId="22"/>
  </si>
  <si>
    <t>レベル４に加え、地中熱や井水、太陽熱、顕熱潜熱分離等の更なる効率化が図られている。</t>
    <rPh sb="8" eb="10">
      <t>チチュウ</t>
    </rPh>
    <rPh sb="10" eb="11">
      <t>ネツ</t>
    </rPh>
    <rPh sb="12" eb="13">
      <t>イ</t>
    </rPh>
    <rPh sb="13" eb="14">
      <t>スイ</t>
    </rPh>
    <rPh sb="15" eb="18">
      <t>タイヨウネツ</t>
    </rPh>
    <rPh sb="19" eb="20">
      <t>ケン</t>
    </rPh>
    <rPh sb="20" eb="21">
      <t>ネツ</t>
    </rPh>
    <rPh sb="21" eb="22">
      <t>セン</t>
    </rPh>
    <rPh sb="22" eb="23">
      <t>ネツ</t>
    </rPh>
    <rPh sb="23" eb="25">
      <t>ブンリ</t>
    </rPh>
    <rPh sb="25" eb="26">
      <t>トウ</t>
    </rPh>
    <rPh sb="27" eb="28">
      <t>サラ</t>
    </rPh>
    <rPh sb="30" eb="33">
      <t>コウリツカ</t>
    </rPh>
    <rPh sb="34" eb="35">
      <t>ハカ</t>
    </rPh>
    <phoneticPr fontId="22"/>
  </si>
  <si>
    <t>3.2　換気設備</t>
    <rPh sb="4" eb="6">
      <t>カンキ</t>
    </rPh>
    <rPh sb="6" eb="8">
      <t>セツビ</t>
    </rPh>
    <phoneticPr fontId="22"/>
  </si>
  <si>
    <t>3.3　照明設備</t>
    <rPh sb="4" eb="6">
      <t>ショウメイ</t>
    </rPh>
    <rPh sb="6" eb="8">
      <t>セツビ</t>
    </rPh>
    <phoneticPr fontId="22"/>
  </si>
  <si>
    <t>Hf(高周波点灯専用型）が採用されている。</t>
    <rPh sb="13" eb="15">
      <t>サイヨウ</t>
    </rPh>
    <phoneticPr fontId="3"/>
  </si>
  <si>
    <t>3.4　給湯設備</t>
    <rPh sb="4" eb="6">
      <t>キュウトウ</t>
    </rPh>
    <rPh sb="6" eb="8">
      <t>セツビ</t>
    </rPh>
    <phoneticPr fontId="22"/>
  </si>
  <si>
    <t>3.5　昇降機設備</t>
    <rPh sb="4" eb="7">
      <t>ショウコウキ</t>
    </rPh>
    <rPh sb="7" eb="9">
      <t>セツビ</t>
    </rPh>
    <phoneticPr fontId="22"/>
  </si>
  <si>
    <t>塗膜防水の塗料</t>
    <rPh sb="0" eb="1">
      <t>ヌ</t>
    </rPh>
    <rPh sb="1" eb="2">
      <t>マク</t>
    </rPh>
    <rPh sb="2" eb="4">
      <t>ボウスイ</t>
    </rPh>
    <rPh sb="5" eb="7">
      <t>トリョウ</t>
    </rPh>
    <phoneticPr fontId="22"/>
  </si>
  <si>
    <t>塗料</t>
    <rPh sb="0" eb="2">
      <t>トリョウ</t>
    </rPh>
    <phoneticPr fontId="22"/>
  </si>
  <si>
    <t>建具塗装（木製・金属製）</t>
    <rPh sb="0" eb="2">
      <t>タテグ</t>
    </rPh>
    <rPh sb="2" eb="4">
      <t>トソウ</t>
    </rPh>
    <rPh sb="5" eb="7">
      <t>モクセイ</t>
    </rPh>
    <rPh sb="8" eb="11">
      <t>キンゾクセイ</t>
    </rPh>
    <phoneticPr fontId="22"/>
  </si>
  <si>
    <t>木部塗装（巾木・廻り縁など）</t>
    <rPh sb="0" eb="2">
      <t>モクブ</t>
    </rPh>
    <rPh sb="2" eb="4">
      <t>トソウ</t>
    </rPh>
    <rPh sb="5" eb="6">
      <t>ハバ</t>
    </rPh>
    <rPh sb="6" eb="7">
      <t>キ</t>
    </rPh>
    <rPh sb="8" eb="9">
      <t>マワ</t>
    </rPh>
    <rPh sb="10" eb="11">
      <t>ブチ</t>
    </rPh>
    <phoneticPr fontId="22"/>
  </si>
  <si>
    <t>構造体の塗装</t>
    <rPh sb="0" eb="3">
      <t>コウゾウタイ</t>
    </rPh>
    <rPh sb="4" eb="6">
      <t>トソウ</t>
    </rPh>
    <phoneticPr fontId="22"/>
  </si>
  <si>
    <t>壁塗装</t>
    <rPh sb="0" eb="1">
      <t>カベ</t>
    </rPh>
    <rPh sb="1" eb="3">
      <t>トソウ</t>
    </rPh>
    <phoneticPr fontId="22"/>
  </si>
  <si>
    <t>II 分別回収を推進するための空間整備や設備の設置</t>
    <phoneticPr fontId="22"/>
  </si>
  <si>
    <t>1～2</t>
    <phoneticPr fontId="22"/>
  </si>
  <si>
    <t>III ゴミの減容化・減量化、あるいは堆肥化するための設備の設置</t>
    <phoneticPr fontId="22"/>
  </si>
  <si>
    <t>レベル３</t>
    <phoneticPr fontId="22"/>
  </si>
  <si>
    <t>周辺のまちなみや景観に対して、取組みが十分とはいえない。(評価ポイント1～2）</t>
    <phoneticPr fontId="22"/>
  </si>
  <si>
    <t>植栽により、良好な景観を形成している。</t>
    <phoneticPr fontId="22"/>
  </si>
  <si>
    <t>3）景観の歴史の継承</t>
    <phoneticPr fontId="22"/>
  </si>
  <si>
    <t>LR-3 敷地外環境</t>
    <rPh sb="5" eb="7">
      <t>シキチ</t>
    </rPh>
    <rPh sb="7" eb="8">
      <t>ガイ</t>
    </rPh>
    <rPh sb="8" eb="10">
      <t>カンキョウ</t>
    </rPh>
    <phoneticPr fontId="22"/>
  </si>
  <si>
    <t>熱負荷抑制</t>
    <rPh sb="0" eb="1">
      <t>ネツ</t>
    </rPh>
    <rPh sb="1" eb="3">
      <t>フカ</t>
    </rPh>
    <rPh sb="3" eb="5">
      <t>ヨクセイ</t>
    </rPh>
    <phoneticPr fontId="22"/>
  </si>
  <si>
    <t>水資源</t>
    <rPh sb="0" eb="1">
      <t>ミズ</t>
    </rPh>
    <rPh sb="1" eb="3">
      <t>シゲン</t>
    </rPh>
    <phoneticPr fontId="22"/>
  </si>
  <si>
    <t>LR2</t>
    <phoneticPr fontId="22"/>
  </si>
  <si>
    <t>昼光の建物外壁による反射光（グレア）への対策</t>
    <rPh sb="0" eb="1">
      <t>ﾋﾙ</t>
    </rPh>
    <rPh sb="1" eb="2">
      <t>ﾋｶﾘ</t>
    </rPh>
    <rPh sb="3" eb="5">
      <t>ﾀﾃﾓﾉ</t>
    </rPh>
    <rPh sb="5" eb="7">
      <t>ｶﾞｲﾍｷ</t>
    </rPh>
    <rPh sb="10" eb="13">
      <t>ﾊﾝｼｬｺｳ</t>
    </rPh>
    <rPh sb="20" eb="22">
      <t>ﾀｲｻｸ</t>
    </rPh>
    <phoneticPr fontId="35" type="noConversion"/>
  </si>
  <si>
    <r>
      <t>ライフサイクルCO</t>
    </r>
    <r>
      <rPr>
        <b/>
        <vertAlign val="subscript"/>
        <sz val="12"/>
        <color indexed="9"/>
        <rFont val="ＭＳ Ｐゴシック"/>
        <family val="3"/>
        <charset val="128"/>
      </rPr>
      <t>2</t>
    </r>
    <r>
      <rPr>
        <b/>
        <sz val="12"/>
        <color indexed="9"/>
        <rFont val="ＭＳ Ｐゴシック"/>
        <family val="3"/>
        <charset val="128"/>
      </rPr>
      <t>計算シート（標準計算用）</t>
    </r>
    <rPh sb="10" eb="12">
      <t>ケイサン</t>
    </rPh>
    <rPh sb="16" eb="18">
      <t>ヒョウジュン</t>
    </rPh>
    <rPh sb="18" eb="20">
      <t>ケイサン</t>
    </rPh>
    <rPh sb="20" eb="21">
      <t>ヨウ</t>
    </rPh>
    <phoneticPr fontId="22"/>
  </si>
  <si>
    <t>評価対象</t>
    <rPh sb="0" eb="2">
      <t>ヒョウカ</t>
    </rPh>
    <rPh sb="2" eb="4">
      <t>タイショウ</t>
    </rPh>
    <phoneticPr fontId="22"/>
  </si>
  <si>
    <t>参照値</t>
    <rPh sb="0" eb="2">
      <t>サンショウ</t>
    </rPh>
    <rPh sb="2" eb="3">
      <t>チ</t>
    </rPh>
    <phoneticPr fontId="22"/>
  </si>
  <si>
    <t>LR2/2.3 躯体材料におけるﾘｻｲｸﾙ材（高炉セメント）</t>
    <rPh sb="8" eb="10">
      <t>クタイ</t>
    </rPh>
    <rPh sb="10" eb="12">
      <t>ザイリョウ</t>
    </rPh>
    <rPh sb="21" eb="22">
      <t>ザイ</t>
    </rPh>
    <rPh sb="23" eb="25">
      <t>コウロ</t>
    </rPh>
    <phoneticPr fontId="22"/>
  </si>
  <si>
    <t>1-2.　合計の計算</t>
    <rPh sb="5" eb="7">
      <t>ゴウケイ</t>
    </rPh>
    <rPh sb="8" eb="10">
      <t>ケイサン</t>
    </rPh>
    <phoneticPr fontId="22"/>
  </si>
  <si>
    <t>建物寿命</t>
    <rPh sb="0" eb="2">
      <t>タテモノ</t>
    </rPh>
    <rPh sb="2" eb="4">
      <t>ジュミョウ</t>
    </rPh>
    <phoneticPr fontId="22"/>
  </si>
  <si>
    <t>代表的な資材量</t>
    <rPh sb="0" eb="3">
      <t>ダイヒョウテキ</t>
    </rPh>
    <rPh sb="4" eb="6">
      <t>シザイ</t>
    </rPh>
    <rPh sb="6" eb="7">
      <t>リョウ</t>
    </rPh>
    <phoneticPr fontId="22"/>
  </si>
  <si>
    <t>LR2/2.2 既存建築躯体</t>
    <rPh sb="8" eb="10">
      <t>キソン</t>
    </rPh>
    <rPh sb="10" eb="12">
      <t>ケンチク</t>
    </rPh>
    <rPh sb="12" eb="14">
      <t>クタイ</t>
    </rPh>
    <phoneticPr fontId="22"/>
  </si>
  <si>
    <t>LR2/2.3 ﾘｻｲｸﾙ材（高炉セメント）</t>
    <rPh sb="13" eb="14">
      <t>ザイ</t>
    </rPh>
    <rPh sb="15" eb="17">
      <t>コウロ</t>
    </rPh>
    <phoneticPr fontId="22"/>
  </si>
  <si>
    <t>普通コンクリート</t>
    <rPh sb="0" eb="2">
      <t>フツウ</t>
    </rPh>
    <phoneticPr fontId="22"/>
  </si>
  <si>
    <t>ｍ3/㎡</t>
  </si>
  <si>
    <t>高炉セメントコンクリート</t>
    <rPh sb="0" eb="2">
      <t>コウロ</t>
    </rPh>
    <phoneticPr fontId="22"/>
  </si>
  <si>
    <t>鉄　骨</t>
    <rPh sb="0" eb="1">
      <t>テツ</t>
    </rPh>
    <rPh sb="2" eb="3">
      <t>ホネ</t>
    </rPh>
    <phoneticPr fontId="22"/>
  </si>
  <si>
    <t>ｔ/㎡</t>
  </si>
  <si>
    <t>鉄骨 (電炉）</t>
    <rPh sb="0" eb="1">
      <t>テツ</t>
    </rPh>
    <rPh sb="1" eb="2">
      <t>ホネ</t>
    </rPh>
    <rPh sb="4" eb="6">
      <t>デンロ</t>
    </rPh>
    <phoneticPr fontId="22"/>
  </si>
  <si>
    <t>鉄　筋</t>
    <rPh sb="0" eb="1">
      <t>テツ</t>
    </rPh>
    <rPh sb="2" eb="3">
      <t>スジ</t>
    </rPh>
    <phoneticPr fontId="22"/>
  </si>
  <si>
    <t>㎡</t>
    <phoneticPr fontId="22"/>
  </si>
  <si>
    <t>◇算定省令に基づく電気事業者ごとの実排出係数及び代替値</t>
    <phoneticPr fontId="22"/>
  </si>
  <si>
    <t xml:space="preserve"> [1]実排出係数 </t>
    <phoneticPr fontId="22"/>
  </si>
  <si>
    <t>　（１）評価条件として、与えられた排出係数を用いる場合</t>
    <phoneticPr fontId="22"/>
  </si>
  <si>
    <t>排出係数</t>
    <phoneticPr fontId="22"/>
  </si>
  <si>
    <t>N.A.</t>
    <phoneticPr fontId="22"/>
  </si>
  <si>
    <t>　　①</t>
    <phoneticPr fontId="22"/>
  </si>
  <si>
    <t>排出係数</t>
    <phoneticPr fontId="22"/>
  </si>
  <si>
    <t>　　②</t>
    <phoneticPr fontId="22"/>
  </si>
  <si>
    <t>　　③</t>
    <phoneticPr fontId="22"/>
  </si>
  <si>
    <t>代替値</t>
    <phoneticPr fontId="22"/>
  </si>
  <si>
    <t>　（３）上記以外の場合</t>
    <phoneticPr fontId="22"/>
  </si>
  <si>
    <t>SQ</t>
    <phoneticPr fontId="22"/>
  </si>
  <si>
    <t>background</t>
    <phoneticPr fontId="22"/>
  </si>
  <si>
    <t>Score(RoundDown)</t>
    <phoneticPr fontId="22"/>
  </si>
  <si>
    <t>std</t>
    <phoneticPr fontId="22"/>
  </si>
  <si>
    <t>SLR</t>
    <phoneticPr fontId="22"/>
  </si>
  <si>
    <t>Q2</t>
    <phoneticPr fontId="22"/>
  </si>
  <si>
    <t>全般照明方式の場合で室内にやや不快に感じる程度の暗い部分がある。</t>
    <phoneticPr fontId="22"/>
  </si>
  <si>
    <t>全般照明方式の場合で室内にほとんど暗い部分がない。</t>
    <phoneticPr fontId="22"/>
  </si>
  <si>
    <t>病</t>
    <phoneticPr fontId="22"/>
  </si>
  <si>
    <t>照明制御ができない。</t>
    <phoneticPr fontId="22"/>
  </si>
  <si>
    <t>執務者・売り場等について複数単位の大まかな照明制御ができる。</t>
    <phoneticPr fontId="22"/>
  </si>
  <si>
    <t>明るさや学習形態に応じた制御区画であり、在室者自らが点灯・消灯によって制御できる</t>
    <phoneticPr fontId="22"/>
  </si>
  <si>
    <t>各執務者・売り場等の部分について、細かな照明制御ができる、または、自動照明制御ができる。</t>
    <phoneticPr fontId="22"/>
  </si>
  <si>
    <t>制御区画が分かれていない、かつ、照明制御盤・器具等で調整できない。</t>
    <phoneticPr fontId="22"/>
  </si>
  <si>
    <t>明るさや学習形態に応じた制御区画ではない。</t>
    <phoneticPr fontId="22"/>
  </si>
  <si>
    <t>照明制御ができない。</t>
    <phoneticPr fontId="22"/>
  </si>
  <si>
    <t>風害、砂塵、日照阻害の抑制</t>
    <rPh sb="0" eb="2">
      <t>ﾌｳｶﾞｲ</t>
    </rPh>
    <rPh sb="3" eb="5">
      <t>ｻｼﾞﾝ</t>
    </rPh>
    <rPh sb="6" eb="8">
      <t>ﾆｯｼｮｳ</t>
    </rPh>
    <rPh sb="8" eb="10">
      <t>ｿｶﾞｲ</t>
    </rPh>
    <rPh sb="11" eb="13">
      <t>ﾖｸｾｲ</t>
    </rPh>
    <phoneticPr fontId="35" type="noConversion"/>
  </si>
  <si>
    <t>病(診)</t>
    <rPh sb="0" eb="1">
      <t>ビョウ</t>
    </rPh>
    <rPh sb="2" eb="3">
      <t>ミ</t>
    </rPh>
    <phoneticPr fontId="22"/>
  </si>
  <si>
    <t>空調居住域の上下温度差、気流速度や非空調部屋との室間温度差などについて特に配慮していない空調方式が計画されている。</t>
  </si>
  <si>
    <t>空調居住域の上下温度差、気流速度や非空調部屋との室間温度差などに配慮した空調方式が計画されている。</t>
  </si>
  <si>
    <t>居住域の上下温度差や気流速度が少なくなり、また診療室内の間仕切りに配慮された空調方式＊が採用されている。あるいは、その他の空調方式で、上下温度差および気流速度の目標値をおおよそ2℃以内、0.15m/s程度に設定している。</t>
    <rPh sb="59" eb="60">
      <t>タ</t>
    </rPh>
    <rPh sb="61" eb="63">
      <t>クウチョウ</t>
    </rPh>
    <rPh sb="63" eb="65">
      <t>ホウシキ</t>
    </rPh>
    <phoneticPr fontId="22"/>
  </si>
  <si>
    <r>
      <t xml:space="preserve">2.3.1 </t>
    </r>
    <r>
      <rPr>
        <b/>
        <sz val="10"/>
        <rFont val="ＭＳ Ｐゴシック"/>
        <family val="3"/>
        <charset val="128"/>
      </rPr>
      <t>上下温度差</t>
    </r>
    <rPh sb="6" eb="8">
      <t>ジョウゲ</t>
    </rPh>
    <rPh sb="8" eb="11">
      <t>オンドサ</t>
    </rPh>
    <phoneticPr fontId="22"/>
  </si>
  <si>
    <r>
      <t xml:space="preserve">2.3.2 </t>
    </r>
    <r>
      <rPr>
        <b/>
        <sz val="10"/>
        <rFont val="ＭＳ Ｐゴシック"/>
        <family val="3"/>
        <charset val="128"/>
      </rPr>
      <t>平均気流速度</t>
    </r>
    <rPh sb="6" eb="8">
      <t>ヘイキン</t>
    </rPh>
    <rPh sb="8" eb="10">
      <t>キリュウ</t>
    </rPh>
    <rPh sb="10" eb="12">
      <t>ソクド</t>
    </rPh>
    <phoneticPr fontId="22"/>
  </si>
  <si>
    <t>事・学・物・飲・会・病（待・診）・ホ・工・住</t>
    <rPh sb="0" eb="1">
      <t>コト</t>
    </rPh>
    <rPh sb="2" eb="3">
      <t>ガク</t>
    </rPh>
    <rPh sb="4" eb="5">
      <t>モノ</t>
    </rPh>
    <rPh sb="6" eb="7">
      <t>イン</t>
    </rPh>
    <rPh sb="8" eb="9">
      <t>カイ</t>
    </rPh>
    <rPh sb="10" eb="11">
      <t>ヤマイ</t>
    </rPh>
    <rPh sb="21" eb="22">
      <t>ジュウ</t>
    </rPh>
    <phoneticPr fontId="22"/>
  </si>
  <si>
    <t>0.45ｍ/ｓ＜ [平均気流速度]</t>
  </si>
  <si>
    <t>0.35ｍ/ｓ＜ [平均気流速度] ≦0.45ｍ/ｓ</t>
  </si>
  <si>
    <t>0.25ｍ/ｓ＜ [平均気流速度] ≦0.35ｍ/ｓ</t>
  </si>
  <si>
    <t>0.15ｍ/ｓ＜ [平均気流速度] ≦0.25ｍ/ｓ</t>
  </si>
  <si>
    <t>[上下温度差] ≦2℃</t>
  </si>
  <si>
    <t>[平均気流速度] ≦0.15ｍ/ｓ</t>
  </si>
  <si>
    <t>事前調査や予防計画や低減・回避対策等は行っている。そして机上予測に基づいて風力階級による評価を行い、結果として悪化していない。又は風環境評価指標によるランク評価を行い、結果として立地に対応する風環境のランクを確保している。</t>
  </si>
  <si>
    <t>事前調査や予防計画や低減・回避対策を行っており、風環境評価指標によるランク評価を行っている。その結果、一部に立地に対応する風環境のランクより上のランクがある。</t>
  </si>
  <si>
    <t>事前調査や予防計画や低減・回避対策を行っており、風環境評価指標によるランク評価を行っている。その結果、立地に対応する風環境のランクより上のランクにある。</t>
  </si>
  <si>
    <r>
      <t>3.2.2</t>
    </r>
    <r>
      <rPr>
        <b/>
        <sz val="10"/>
        <rFont val="ＭＳ Ｐゴシック"/>
        <family val="3"/>
        <charset val="128"/>
      </rPr>
      <t>　砂塵の抑制</t>
    </r>
    <rPh sb="6" eb="8">
      <t>サジン</t>
    </rPh>
    <rPh sb="9" eb="11">
      <t>ヨクセイ</t>
    </rPh>
    <phoneticPr fontId="22"/>
  </si>
  <si>
    <t>学(小中高)</t>
    <rPh sb="2" eb="5">
      <t>ショウチュウコウ</t>
    </rPh>
    <phoneticPr fontId="22"/>
  </si>
  <si>
    <t>（評価ポイント　0）</t>
  </si>
  <si>
    <t>校庭からの砂塵に対して、標準以上の取組みが行われている。（評価ポイント3）</t>
  </si>
  <si>
    <t>校庭からの砂塵に対して、充実した取組みが行われている。（評価ポイント4以上）</t>
    <rPh sb="35" eb="37">
      <t>イジョウ</t>
    </rPh>
    <phoneticPr fontId="22"/>
  </si>
  <si>
    <t>3）校庭を砂塵が発生しない舗装または芝生としている。</t>
  </si>
  <si>
    <r>
      <t xml:space="preserve">3.2.3 </t>
    </r>
    <r>
      <rPr>
        <b/>
        <sz val="10"/>
        <rFont val="ＭＳ Ｐゴシック"/>
        <family val="3"/>
        <charset val="128"/>
      </rPr>
      <t>日照阻害の抑制</t>
    </r>
    <rPh sb="6" eb="8">
      <t>ニッショウ</t>
    </rPh>
    <phoneticPr fontId="22"/>
  </si>
  <si>
    <t>光害の抑制</t>
    <rPh sb="0" eb="1">
      <t>ヒカリ</t>
    </rPh>
    <rPh sb="1" eb="2">
      <t>ガイ</t>
    </rPh>
    <rPh sb="3" eb="5">
      <t>ヨクセイ</t>
    </rPh>
    <phoneticPr fontId="22"/>
  </si>
  <si>
    <t>評価する取組み</t>
    <rPh sb="0" eb="2">
      <t>ヒョウカ</t>
    </rPh>
    <rPh sb="4" eb="5">
      <t>ト</t>
    </rPh>
    <rPh sb="5" eb="6">
      <t>ク</t>
    </rPh>
    <phoneticPr fontId="22"/>
  </si>
  <si>
    <t>1)　屋外照明および屋内照明のうち外に漏れる光</t>
  </si>
  <si>
    <t>配管からの騒音（透過騒音）</t>
    <rPh sb="0" eb="2">
      <t>ハイカン</t>
    </rPh>
    <rPh sb="5" eb="7">
      <t>ソウオン</t>
    </rPh>
    <rPh sb="8" eb="10">
      <t>トウカ</t>
    </rPh>
    <rPh sb="10" eb="12">
      <t>ソウオン</t>
    </rPh>
    <phoneticPr fontId="22"/>
  </si>
  <si>
    <t>冬期20℃、夏期28℃と多少我慢を強いる室温を実現するための最低限の設備容量が確保されている。</t>
  </si>
  <si>
    <t>冬期10℃以上、夏期30℃以下と多少我慢を強いる室温を実現するための最低限の設備容量が確保されている。</t>
  </si>
  <si>
    <t>冬期18℃、夏期28℃と多少我慢を強いる室温を実現するための最低限の設備容量が確保されている。</t>
  </si>
  <si>
    <t>一般的な設定値である冬期22℃、夏期26℃の室温を実現するための設備容量が確保されている。</t>
  </si>
  <si>
    <t>一般的な設定値である冬期20℃、夏期26℃の室温を実現するための設備容量が確保されている。</t>
  </si>
  <si>
    <r>
      <t xml:space="preserve">2.1.2 </t>
    </r>
    <r>
      <rPr>
        <b/>
        <sz val="10"/>
        <rFont val="ＭＳ Ｐゴシック"/>
        <family val="3"/>
        <charset val="128"/>
      </rPr>
      <t>負荷変動・追従制御性</t>
    </r>
    <rPh sb="6" eb="8">
      <t>フカ</t>
    </rPh>
    <rPh sb="8" eb="10">
      <t>ヘンドウ</t>
    </rPh>
    <rPh sb="11" eb="13">
      <t>ツイジュウ</t>
    </rPh>
    <rPh sb="13" eb="16">
      <t>セイギョセイ</t>
    </rPh>
    <phoneticPr fontId="22"/>
  </si>
  <si>
    <t>学・物・飲・会</t>
    <rPh sb="0" eb="1">
      <t>ガク</t>
    </rPh>
    <rPh sb="2" eb="3">
      <t>ブツ</t>
    </rPh>
    <rPh sb="4" eb="5">
      <t>イン</t>
    </rPh>
    <rPh sb="6" eb="7">
      <t>カイ</t>
    </rPh>
    <phoneticPr fontId="22"/>
  </si>
  <si>
    <t>急激な負荷変動に対する考慮は特にしていない。</t>
  </si>
  <si>
    <t>一般的な負荷変動を考慮し、ある程度制御可能なシステムになっている。</t>
  </si>
  <si>
    <t>食堂</t>
    <rPh sb="0" eb="2">
      <t>ショクドウ</t>
    </rPh>
    <phoneticPr fontId="22"/>
  </si>
  <si>
    <t>＊）日本建築学会編：建築設計資料集成Ⅰ、環境、p13、丸善、1978</t>
    <rPh sb="2" eb="4">
      <t>ニホン</t>
    </rPh>
    <rPh sb="4" eb="6">
      <t>ケンチク</t>
    </rPh>
    <rPh sb="6" eb="8">
      <t>ガッカイ</t>
    </rPh>
    <rPh sb="8" eb="9">
      <t>ヘン</t>
    </rPh>
    <rPh sb="10" eb="12">
      <t>ケンチク</t>
    </rPh>
    <rPh sb="12" eb="14">
      <t>セッケイ</t>
    </rPh>
    <rPh sb="14" eb="16">
      <t>シリョウ</t>
    </rPh>
    <rPh sb="16" eb="18">
      <t>シュウセイ</t>
    </rPh>
    <rPh sb="20" eb="22">
      <t>カンキョウ</t>
    </rPh>
    <rPh sb="27" eb="29">
      <t>マルゼン</t>
    </rPh>
    <phoneticPr fontId="22"/>
  </si>
  <si>
    <r>
      <t xml:space="preserve">1.1.2 </t>
    </r>
    <r>
      <rPr>
        <b/>
        <sz val="10"/>
        <rFont val="ＭＳ Ｐゴシック"/>
        <family val="3"/>
        <charset val="128"/>
      </rPr>
      <t>設備騒音対策</t>
    </r>
    <rPh sb="6" eb="8">
      <t>セツビ</t>
    </rPh>
    <rPh sb="8" eb="10">
      <t>ソウオン</t>
    </rPh>
    <rPh sb="10" eb="11">
      <t>タイ</t>
    </rPh>
    <rPh sb="11" eb="12">
      <t>サク</t>
    </rPh>
    <phoneticPr fontId="22"/>
  </si>
  <si>
    <t>建物全体・共用部分</t>
    <phoneticPr fontId="22"/>
  </si>
  <si>
    <t>住</t>
  </si>
  <si>
    <t>騒音対策を行っていない（評価する取組みにおいてなんら取組みがない）</t>
  </si>
  <si>
    <t>防音管巻き、位置など</t>
    <rPh sb="0" eb="2">
      <t>ボウオン</t>
    </rPh>
    <rPh sb="2" eb="3">
      <t>カン</t>
    </rPh>
    <rPh sb="3" eb="4">
      <t>マ</t>
    </rPh>
    <rPh sb="6" eb="8">
      <t>イチ</t>
    </rPh>
    <phoneticPr fontId="22"/>
  </si>
  <si>
    <t>防振吊り、防振支持、フレキシブルジョイント、貫通部の防振施工など</t>
  </si>
  <si>
    <t>同上（固体伝播音）</t>
    <rPh sb="0" eb="2">
      <t>ドウジョウ</t>
    </rPh>
    <rPh sb="3" eb="5">
      <t>コタイ</t>
    </rPh>
    <rPh sb="5" eb="7">
      <t>デンパン</t>
    </rPh>
    <rPh sb="7" eb="8">
      <t>オン</t>
    </rPh>
    <phoneticPr fontId="22"/>
  </si>
  <si>
    <t>防振吊り、防振支持、フレキシブルジョイント、貫通部の防振施工など</t>
    <rPh sb="0" eb="2">
      <t>ボウシン</t>
    </rPh>
    <rPh sb="2" eb="3">
      <t>ツ</t>
    </rPh>
    <rPh sb="5" eb="7">
      <t>ボウシン</t>
    </rPh>
    <rPh sb="7" eb="9">
      <t>シジ</t>
    </rPh>
    <rPh sb="22" eb="24">
      <t>カンツウ</t>
    </rPh>
    <rPh sb="24" eb="25">
      <t>ブ</t>
    </rPh>
    <rPh sb="26" eb="28">
      <t>ボウシン</t>
    </rPh>
    <rPh sb="28" eb="30">
      <t>セコウ</t>
    </rPh>
    <phoneticPr fontId="22"/>
  </si>
  <si>
    <t>防音塀、遮蔽体、防振支持、位置など</t>
    <rPh sb="0" eb="2">
      <t>ボウオン</t>
    </rPh>
    <rPh sb="2" eb="3">
      <t>ヘイ</t>
    </rPh>
    <phoneticPr fontId="22"/>
  </si>
  <si>
    <t>ビルマルチエアコン室内機等からの騒音</t>
    <rPh sb="9" eb="12">
      <t>シツナイキ</t>
    </rPh>
    <rPh sb="12" eb="13">
      <t>トウ</t>
    </rPh>
    <rPh sb="16" eb="18">
      <t>ソウオン</t>
    </rPh>
    <phoneticPr fontId="22"/>
  </si>
  <si>
    <t>低騒音タイプの機器の採用など</t>
    <rPh sb="0" eb="3">
      <t>テイソウオン</t>
    </rPh>
    <rPh sb="7" eb="9">
      <t>キキ</t>
    </rPh>
    <rPh sb="10" eb="12">
      <t>サイヨウ</t>
    </rPh>
    <phoneticPr fontId="22"/>
  </si>
  <si>
    <t>位置、風量・風速の適正化など</t>
  </si>
  <si>
    <t>１～７地域</t>
    <rPh sb="3" eb="5">
      <t>チイキ</t>
    </rPh>
    <phoneticPr fontId="22"/>
  </si>
  <si>
    <t>1～7地域</t>
    <rPh sb="3" eb="5">
      <t>チイキ</t>
    </rPh>
    <phoneticPr fontId="22"/>
  </si>
  <si>
    <t>レベル</t>
    <phoneticPr fontId="22"/>
  </si>
  <si>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2"/>
  </si>
  <si>
    <t>自然エネルギーの利用</t>
    <rPh sb="0" eb="2">
      <t>シゼン</t>
    </rPh>
    <rPh sb="8" eb="10">
      <t>リヨウ</t>
    </rPh>
    <rPh sb="9" eb="10">
      <t>チョクリ</t>
    </rPh>
    <phoneticPr fontId="22"/>
  </si>
  <si>
    <t>加湿機能・除湿機能を有し、かつ45％～55％の範囲の湿度を実現することが可能な設備容量が確保されている。</t>
  </si>
  <si>
    <t>事・学・物・飲・会・病(待)・ホ・工・住</t>
    <rPh sb="12" eb="13">
      <t>マ</t>
    </rPh>
    <rPh sb="19" eb="20">
      <t>ジュウ</t>
    </rPh>
    <phoneticPr fontId="22"/>
  </si>
  <si>
    <t>事・学・物・飲・会・病・ホ・工</t>
    <rPh sb="0" eb="1">
      <t>コト</t>
    </rPh>
    <rPh sb="2" eb="3">
      <t>ガク</t>
    </rPh>
    <rPh sb="4" eb="5">
      <t>モノ</t>
    </rPh>
    <rPh sb="6" eb="7">
      <t>イン</t>
    </rPh>
    <rPh sb="8" eb="9">
      <t>カイ</t>
    </rPh>
    <rPh sb="10" eb="11">
      <t>ヤマイ</t>
    </rPh>
    <rPh sb="14" eb="15">
      <t>コウ</t>
    </rPh>
    <phoneticPr fontId="22"/>
  </si>
  <si>
    <t>外気が空調機でレタンと混合され各室に熱負荷から決まる風量で配分される等、各室の負荷条件によっては、必ずしも必要な場所に必要な外気量が保証されないシステムとなっている。</t>
  </si>
  <si>
    <t>外気がレタンと混合されず、各室の必要外気量が直接各室に供給されている等、各室の負荷条件によらず、必要な場所に必要な外気量が保証されるシステムとなっている。</t>
  </si>
  <si>
    <t xml:space="preserve">評価する取組み表の評価ポイントの合計値が6～12ポイント </t>
    <phoneticPr fontId="22"/>
  </si>
  <si>
    <t>評価する取組み表の評価ポイントの合計値が13～19ポイント</t>
    <phoneticPr fontId="22"/>
  </si>
  <si>
    <t>評価する取組み表の評価ポイントの合計値が20ポイント以上</t>
    <phoneticPr fontId="22"/>
  </si>
  <si>
    <t>評価項目</t>
    <phoneticPr fontId="22"/>
  </si>
  <si>
    <t>評価ポイント</t>
    <phoneticPr fontId="22"/>
  </si>
  <si>
    <t>①近くの気象台データや地域気象観測データ(アメダスデータ)等の既存データを用いて風向風速卓越風などの風環境を把握している場合(1ポイント)</t>
    <phoneticPr fontId="22"/>
  </si>
  <si>
    <t>1～2</t>
    <phoneticPr fontId="22"/>
  </si>
  <si>
    <t>LR2 3.2</t>
  </si>
  <si>
    <t>発泡剤（断熱材等）</t>
  </si>
  <si>
    <t>冷媒</t>
  </si>
  <si>
    <t>LR3 2</t>
  </si>
  <si>
    <t>LR3 2.3</t>
  </si>
  <si>
    <t>LR3 3</t>
  </si>
  <si>
    <t>LR3 3.1</t>
  </si>
  <si>
    <t>振動</t>
    <rPh sb="0" eb="2">
      <t>ｼﾝﾄﾞｳ</t>
    </rPh>
    <phoneticPr fontId="35" type="noConversion"/>
  </si>
  <si>
    <t>換算係数</t>
    <rPh sb="0" eb="2">
      <t>カンサン</t>
    </rPh>
    <rPh sb="2" eb="4">
      <t>ケイスウ</t>
    </rPh>
    <phoneticPr fontId="24"/>
  </si>
  <si>
    <t>採光利用：照明設備に代わり、太陽光を利用した、自然採光システムが計画されている事。（例）ライトシェルフ、トップライト、ハイサイドライトなど</t>
    <rPh sb="0" eb="2">
      <t>サイコウ</t>
    </rPh>
    <rPh sb="2" eb="4">
      <t>リヨウ</t>
    </rPh>
    <rPh sb="5" eb="7">
      <t>ショウメイ</t>
    </rPh>
    <rPh sb="7" eb="9">
      <t>セツビ</t>
    </rPh>
    <rPh sb="10" eb="11">
      <t>カ</t>
    </rPh>
    <rPh sb="14" eb="17">
      <t>タイヨウコウ</t>
    </rPh>
    <rPh sb="18" eb="20">
      <t>リヨウ</t>
    </rPh>
    <rPh sb="23" eb="25">
      <t>シゼン</t>
    </rPh>
    <rPh sb="25" eb="27">
      <t>サイコウ</t>
    </rPh>
    <rPh sb="32" eb="34">
      <t>ケイカク</t>
    </rPh>
    <rPh sb="39" eb="40">
      <t>コト</t>
    </rPh>
    <rPh sb="42" eb="43">
      <t>レイ</t>
    </rPh>
    <phoneticPr fontId="22"/>
  </si>
  <si>
    <t>　レベル　1</t>
    <phoneticPr fontId="22"/>
  </si>
  <si>
    <t>隣棟間隔指標Rwが
　・0.3以上0.4未満の場合(1ポイント)
　・0.4以上0.5未満の場合(2ポイント)
　・0.5以上の場合(3ポイント)</t>
    <phoneticPr fontId="22"/>
  </si>
  <si>
    <t>地表面対策面積率が
　・15％以上30％未満の場合(1ポイント)
　・30％以上45％未満の場合(2ポイント)
　・45％以上の場合(3ポイント)</t>
    <phoneticPr fontId="22"/>
  </si>
  <si>
    <t>屋根面対策面積率が
　・20％未満の場合(1ポイント)
　・20％以上40％未満の場合(2ポイント)
　・40％以上の場合(3ポイント)</t>
    <phoneticPr fontId="22"/>
  </si>
  <si>
    <t>外壁面対策面積率が
　・10％未満の場合(1ポイント)
　・10％以上20％未満の場合(2ポイント)
　・20％以上の場合(3ポイント)</t>
    <phoneticPr fontId="22"/>
  </si>
  <si>
    <t>「LR1エネルギー」のスコア(評価結果)が
　・3.0以上4.0未満(1ポイント)
　・4.0以上4.5未満(2ポイント)
　・4.5以上(3ポイント)</t>
    <phoneticPr fontId="22"/>
  </si>
  <si>
    <t>式修正</t>
    <rPh sb="0" eb="1">
      <t>シキ</t>
    </rPh>
    <rPh sb="1" eb="3">
      <t>シュウセイ</t>
    </rPh>
    <phoneticPr fontId="22"/>
  </si>
  <si>
    <t>2.1.4</t>
  </si>
  <si>
    <t>ゾーン別制御性</t>
  </si>
  <si>
    <t>2.1.5</t>
  </si>
  <si>
    <t>温度・湿度制御</t>
  </si>
  <si>
    <t>2.1.6</t>
  </si>
  <si>
    <t>個別制御</t>
  </si>
  <si>
    <t>2.1.7</t>
  </si>
  <si>
    <t>時間外空調に対する配慮</t>
  </si>
  <si>
    <t>2.1.8</t>
  </si>
  <si>
    <t>監視システム</t>
  </si>
  <si>
    <t xml:space="preserve"> Q1 2.3</t>
  </si>
  <si>
    <t xml:space="preserve"> Q1 3</t>
  </si>
  <si>
    <t xml:space="preserve"> Q1 3.1</t>
  </si>
  <si>
    <t>昼光率</t>
  </si>
  <si>
    <t>方位別開口</t>
  </si>
  <si>
    <t>昼光利用設備</t>
  </si>
  <si>
    <t xml:space="preserve"> Q1 3.2</t>
  </si>
  <si>
    <t>照明器具のグレア</t>
  </si>
  <si>
    <t>昼光制御</t>
  </si>
  <si>
    <t>3.2.3</t>
  </si>
  <si>
    <t xml:space="preserve"> Q1 3.3</t>
  </si>
  <si>
    <t xml:space="preserve"> Q1 4</t>
  </si>
  <si>
    <t xml:space="preserve"> Q1 4.1</t>
  </si>
  <si>
    <t xml:space="preserve"> 化学汚染物質</t>
  </si>
  <si>
    <t xml:space="preserve"> ダニ・カビ等</t>
  </si>
  <si>
    <t xml:space="preserve"> レジオネラ対策</t>
  </si>
  <si>
    <t xml:space="preserve"> Q1 4.2</t>
  </si>
  <si>
    <t>換気量</t>
  </si>
  <si>
    <t>自然換気性能</t>
  </si>
  <si>
    <t>取り入れ外気への配慮</t>
  </si>
  <si>
    <t xml:space="preserve"> Q1 4.3</t>
  </si>
  <si>
    <t xml:space="preserve"> Q2</t>
  </si>
  <si>
    <t>機能性</t>
  </si>
  <si>
    <t xml:space="preserve"> Q2 1</t>
  </si>
  <si>
    <t>機能性・使いやすさ</t>
    <rPh sb="0" eb="3">
      <t>キノウセイ</t>
    </rPh>
    <rPh sb="4" eb="5">
      <t>ヅカ</t>
    </rPh>
    <phoneticPr fontId="22"/>
  </si>
  <si>
    <t xml:space="preserve"> Q2 1.1</t>
  </si>
  <si>
    <t>広さ・収納性</t>
  </si>
  <si>
    <t>バリアフリー計画</t>
  </si>
  <si>
    <t xml:space="preserve"> Q2 1.2</t>
  </si>
  <si>
    <t>広さ感・景観</t>
  </si>
  <si>
    <t>リフレッシュスペース</t>
  </si>
  <si>
    <t>内装計画</t>
  </si>
  <si>
    <t>1.3.1</t>
  </si>
  <si>
    <t>効率的運用</t>
    <rPh sb="0" eb="3">
      <t>コウリツテキ</t>
    </rPh>
    <rPh sb="3" eb="5">
      <t>ウンヨウ</t>
    </rPh>
    <phoneticPr fontId="22"/>
  </si>
  <si>
    <t>事・学・物・飲・会・病・ホ・工</t>
    <rPh sb="14" eb="15">
      <t>コウ</t>
    </rPh>
    <phoneticPr fontId="22"/>
  </si>
  <si>
    <t>8）その他（記述）</t>
    <phoneticPr fontId="22"/>
  </si>
  <si>
    <t>敷地内温熱環境の向上</t>
    <phoneticPr fontId="22"/>
  </si>
  <si>
    <t>I 敷地内の歩行者空間等へ風を導き、暑熱環境を緩和する</t>
    <phoneticPr fontId="22"/>
  </si>
  <si>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2"/>
  </si>
  <si>
    <t>注2：</t>
    <rPh sb="0" eb="1">
      <t>チュウ</t>
    </rPh>
    <phoneticPr fontId="22"/>
  </si>
  <si>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2"/>
  </si>
  <si>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2"/>
  </si>
  <si>
    <t>注3：</t>
    <rPh sb="0" eb="1">
      <t>チュウ</t>
    </rPh>
    <phoneticPr fontId="22"/>
  </si>
  <si>
    <t>色欄について、プルダウンメニューから選択、または数値・コメントを記入のこと</t>
    <rPh sb="0" eb="1">
      <t>イロ</t>
    </rPh>
    <rPh sb="1" eb="2">
      <t>ラン</t>
    </rPh>
    <rPh sb="18" eb="20">
      <t>センタク</t>
    </rPh>
    <rPh sb="24" eb="26">
      <t>スウチ</t>
    </rPh>
    <rPh sb="32" eb="34">
      <t>キニュウ</t>
    </rPh>
    <phoneticPr fontId="22"/>
  </si>
  <si>
    <t>欄に数値またはコメントを記入</t>
    <rPh sb="0" eb="1">
      <t>ラン</t>
    </rPh>
    <rPh sb="2" eb="4">
      <t>スウチ</t>
    </rPh>
    <rPh sb="12" eb="14">
      <t>キニュウ</t>
    </rPh>
    <phoneticPr fontId="22"/>
  </si>
  <si>
    <t>■評価ソフト：</t>
    <rPh sb="1" eb="3">
      <t>ヒョウカ</t>
    </rPh>
    <phoneticPr fontId="22"/>
  </si>
  <si>
    <t>スコアシート</t>
    <phoneticPr fontId="35" type="noConversion"/>
  </si>
  <si>
    <t>建物全体・共用部分</t>
    <rPh sb="0" eb="2">
      <t>タテモノ</t>
    </rPh>
    <rPh sb="2" eb="4">
      <t>ゼンタイ</t>
    </rPh>
    <rPh sb="5" eb="7">
      <t>キョウヨウ</t>
    </rPh>
    <rPh sb="7" eb="9">
      <t>ブブン</t>
    </rPh>
    <phoneticPr fontId="22"/>
  </si>
  <si>
    <t>住居・宿泊部分</t>
    <rPh sb="0" eb="2">
      <t>ジュウキョ</t>
    </rPh>
    <rPh sb="3" eb="5">
      <t>シュクハク</t>
    </rPh>
    <rPh sb="5" eb="7">
      <t>ブブン</t>
    </rPh>
    <phoneticPr fontId="22"/>
  </si>
  <si>
    <t>建物全体</t>
    <rPh sb="0" eb="2">
      <t>タテモノ</t>
    </rPh>
    <rPh sb="2" eb="4">
      <t>ゼンタイ</t>
    </rPh>
    <phoneticPr fontId="22"/>
  </si>
  <si>
    <t>住居宿泊</t>
    <rPh sb="0" eb="2">
      <t>ジュウキョ</t>
    </rPh>
    <rPh sb="2" eb="4">
      <t>シュクハク</t>
    </rPh>
    <phoneticPr fontId="22"/>
  </si>
  <si>
    <r>
      <t>Q3</t>
    </r>
    <r>
      <rPr>
        <b/>
        <sz val="14"/>
        <rFont val="ＭＳ Ｐゴシック"/>
        <family val="3"/>
        <charset val="128"/>
      </rPr>
      <t>　室外環境（敷地内）</t>
    </r>
    <phoneticPr fontId="22"/>
  </si>
  <si>
    <t>○</t>
    <phoneticPr fontId="22"/>
  </si>
  <si>
    <t>はい</t>
    <phoneticPr fontId="22"/>
  </si>
  <si>
    <t>いいえ</t>
    <phoneticPr fontId="22"/>
  </si>
  <si>
    <t>生物環境の保全と創出に関して配慮されているが、取り組みが十分とはいえない。(評価ポイント4～6)</t>
    <phoneticPr fontId="22"/>
  </si>
  <si>
    <t>生物環境の保全と創出に関して配慮されており、標準的な取り組みが行われている。(評価ポイント7～9)</t>
    <phoneticPr fontId="22"/>
  </si>
  <si>
    <t>　レベル　1</t>
    <phoneticPr fontId="22"/>
  </si>
  <si>
    <t>■レベル　1</t>
    <phoneticPr fontId="22"/>
  </si>
  <si>
    <t>生物環境の保全と創出に関して配慮されており、比較的多くの取り組みが行われている。(評価ポイント10～12)</t>
    <phoneticPr fontId="22"/>
  </si>
  <si>
    <t>生物環境の保全と創出に関して十分配慮されており、充実した取り組みが行われている。(評価ポイント13以上）</t>
    <phoneticPr fontId="22"/>
  </si>
  <si>
    <t>I 立地特性の把握と計画方針の設定</t>
    <phoneticPr fontId="22"/>
  </si>
  <si>
    <t>レベル</t>
    <phoneticPr fontId="22"/>
  </si>
  <si>
    <t>II 生物資源の保存と復元</t>
    <phoneticPr fontId="22"/>
  </si>
  <si>
    <t>建築物衛生法における特定建築物に該当しない建築物</t>
    <phoneticPr fontId="22"/>
  </si>
  <si>
    <t>―</t>
    <phoneticPr fontId="22"/>
  </si>
  <si>
    <t>①　清掃用資材を保管するスペースを計画している。</t>
    <phoneticPr fontId="22"/>
  </si>
  <si>
    <t>③　清掃用具室に洗い場を設置し、安全な排水設備への排水経路を確保している。</t>
    <phoneticPr fontId="22"/>
  </si>
  <si>
    <t>④　衛生面からモップ、ウェスを洗濯・乾燥させるスペースを計画している。</t>
    <phoneticPr fontId="22"/>
  </si>
  <si>
    <t>③　水を使用し清掃する箇所（トイレ、ゴミ庫、厨房）には２／１００程度の適度な勾配を計画している。</t>
    <phoneticPr fontId="22"/>
  </si>
  <si>
    <t>⑥　トイレ毎ないしはフロア毎に清掃用流しを設置している。</t>
    <phoneticPr fontId="22"/>
  </si>
  <si>
    <t>⑧　外部ガラスや外壁、給排気口、照明など高所の維持管理作業を安全に行える設計をしている。</t>
    <phoneticPr fontId="22"/>
  </si>
  <si>
    <t>同左</t>
  </si>
  <si>
    <t>国内消費支出分</t>
    <rPh sb="0" eb="2">
      <t>コクナイ</t>
    </rPh>
    <rPh sb="2" eb="4">
      <t>ショウヒ</t>
    </rPh>
    <rPh sb="4" eb="6">
      <t>シシュツ</t>
    </rPh>
    <rPh sb="6" eb="7">
      <t>ブン</t>
    </rPh>
    <phoneticPr fontId="22"/>
  </si>
  <si>
    <t>躯体・基礎の寿命（年）</t>
    <rPh sb="0" eb="2">
      <t>クタイ</t>
    </rPh>
    <rPh sb="3" eb="5">
      <t>キソ</t>
    </rPh>
    <rPh sb="6" eb="8">
      <t>ジュミョウ</t>
    </rPh>
    <rPh sb="9" eb="10">
      <t>ネン</t>
    </rPh>
    <phoneticPr fontId="22"/>
  </si>
  <si>
    <t>Q2/2.2.1 躯体材料</t>
    <rPh sb="9" eb="11">
      <t>クタイ</t>
    </rPh>
    <rPh sb="11" eb="13">
      <t>ザイリョウ</t>
    </rPh>
    <phoneticPr fontId="22"/>
  </si>
  <si>
    <t>再利用なし</t>
    <rPh sb="0" eb="3">
      <t>サイリヨウ</t>
    </rPh>
    <phoneticPr fontId="22"/>
  </si>
  <si>
    <t>高炉ｾﾒﾝﾄ100%</t>
    <rPh sb="0" eb="2">
      <t>コウロ</t>
    </rPh>
    <phoneticPr fontId="22"/>
  </si>
  <si>
    <t>更新周期(年）</t>
    <rPh sb="0" eb="2">
      <t>コウシン</t>
    </rPh>
    <rPh sb="2" eb="4">
      <t>シュウキ</t>
    </rPh>
    <rPh sb="5" eb="6">
      <t>ネン</t>
    </rPh>
    <phoneticPr fontId="22"/>
  </si>
  <si>
    <t>外装</t>
    <rPh sb="0" eb="2">
      <t>ガイソウ</t>
    </rPh>
    <phoneticPr fontId="22"/>
  </si>
  <si>
    <t>年</t>
    <rPh sb="0" eb="1">
      <t>ネン</t>
    </rPh>
    <phoneticPr fontId="22"/>
  </si>
  <si>
    <t>屋根</t>
    <rPh sb="0" eb="2">
      <t>ヤネ</t>
    </rPh>
    <phoneticPr fontId="22"/>
  </si>
  <si>
    <t>内装</t>
    <rPh sb="0" eb="2">
      <t>ナイソウ</t>
    </rPh>
    <phoneticPr fontId="22"/>
  </si>
  <si>
    <t>設備</t>
    <rPh sb="0" eb="2">
      <t>セツビ</t>
    </rPh>
    <phoneticPr fontId="22"/>
  </si>
  <si>
    <t>平均修繕率</t>
    <rPh sb="0" eb="2">
      <t>ヘイキン</t>
    </rPh>
    <rPh sb="2" eb="4">
      <t>シュウゼン</t>
    </rPh>
    <rPh sb="4" eb="5">
      <t>リツ</t>
    </rPh>
    <phoneticPr fontId="22"/>
  </si>
  <si>
    <t>/年</t>
    <rPh sb="1" eb="2">
      <t>ネン</t>
    </rPh>
    <phoneticPr fontId="22"/>
  </si>
  <si>
    <t>参照値（参照建物）</t>
    <rPh sb="0" eb="2">
      <t>サンショウ</t>
    </rPh>
    <rPh sb="2" eb="3">
      <t>チ</t>
    </rPh>
    <rPh sb="4" eb="6">
      <t>サンショウ</t>
    </rPh>
    <rPh sb="6" eb="8">
      <t>タテモノ</t>
    </rPh>
    <phoneticPr fontId="22"/>
  </si>
  <si>
    <t>建物
概要</t>
    <rPh sb="0" eb="2">
      <t>タテモノ</t>
    </rPh>
    <rPh sb="3" eb="5">
      <t>ガイヨウ</t>
    </rPh>
    <phoneticPr fontId="22"/>
  </si>
  <si>
    <t>建物規模</t>
    <rPh sb="0" eb="2">
      <t>タテモノ</t>
    </rPh>
    <rPh sb="2" eb="4">
      <t>キボ</t>
    </rPh>
    <phoneticPr fontId="22"/>
  </si>
  <si>
    <t>構造種別</t>
    <rPh sb="0" eb="2">
      <t>コウゾウ</t>
    </rPh>
    <rPh sb="2" eb="4">
      <t>シュベツ</t>
    </rPh>
    <phoneticPr fontId="22"/>
  </si>
  <si>
    <t>ライフサイクル設定</t>
    <rPh sb="7" eb="9">
      <t>セッテイ</t>
    </rPh>
    <phoneticPr fontId="22"/>
  </si>
  <si>
    <t>想定耐用年数</t>
    <rPh sb="0" eb="2">
      <t>ソウテイ</t>
    </rPh>
    <rPh sb="2" eb="4">
      <t>タイヨウ</t>
    </rPh>
    <rPh sb="4" eb="6">
      <t>ネンスウ</t>
    </rPh>
    <phoneticPr fontId="22"/>
  </si>
  <si>
    <r>
      <t>kg-CO</t>
    </r>
    <r>
      <rPr>
        <vertAlign val="subscript"/>
        <sz val="10"/>
        <rFont val="ＭＳ Ｐゴシック"/>
        <family val="3"/>
        <charset val="128"/>
      </rPr>
      <t>2</t>
    </r>
    <r>
      <rPr>
        <sz val="10"/>
        <rFont val="ＭＳ Ｐゴシック"/>
        <family val="3"/>
        <charset val="128"/>
      </rPr>
      <t>/年㎡</t>
    </r>
    <rPh sb="7" eb="8">
      <t>ネン</t>
    </rPh>
    <phoneticPr fontId="22"/>
  </si>
  <si>
    <t>地球温暖化への配慮</t>
    <rPh sb="0" eb="2">
      <t>チキュウ</t>
    </rPh>
    <rPh sb="2" eb="5">
      <t>オンダンカ</t>
    </rPh>
    <rPh sb="7" eb="9">
      <t>ハイリョ</t>
    </rPh>
    <phoneticPr fontId="22"/>
  </si>
  <si>
    <t>自然ｴﾈﾙｷﾞｰ</t>
    <rPh sb="0" eb="2">
      <t>シゼン</t>
    </rPh>
    <phoneticPr fontId="22"/>
  </si>
  <si>
    <t>非再生性材料の削減</t>
    <rPh sb="0" eb="1">
      <t>ヒ</t>
    </rPh>
    <rPh sb="1" eb="3">
      <t>サイセイ</t>
    </rPh>
    <rPh sb="3" eb="4">
      <t>セイ</t>
    </rPh>
    <rPh sb="4" eb="6">
      <t>ザイリョウ</t>
    </rPh>
    <rPh sb="7" eb="9">
      <t>サクゲン</t>
    </rPh>
    <phoneticPr fontId="22"/>
  </si>
  <si>
    <t>地域環境への配慮</t>
    <rPh sb="0" eb="2">
      <t>チイキ</t>
    </rPh>
    <rPh sb="2" eb="4">
      <t>カンキョウ</t>
    </rPh>
    <rPh sb="6" eb="8">
      <t>ハイリョ</t>
    </rPh>
    <phoneticPr fontId="22"/>
  </si>
  <si>
    <t>設備の効率的利用</t>
    <rPh sb="0" eb="2">
      <t>セツビ</t>
    </rPh>
    <rPh sb="3" eb="5">
      <t>コウリツ</t>
    </rPh>
    <rPh sb="5" eb="6">
      <t>テキ</t>
    </rPh>
    <rPh sb="6" eb="8">
      <t>リヨウ</t>
    </rPh>
    <phoneticPr fontId="22"/>
  </si>
  <si>
    <t>汚染物質回避</t>
    <rPh sb="0" eb="2">
      <t>オセン</t>
    </rPh>
    <rPh sb="2" eb="4">
      <t>ブッシツ</t>
    </rPh>
    <rPh sb="4" eb="6">
      <t>カイヒ</t>
    </rPh>
    <phoneticPr fontId="22"/>
  </si>
  <si>
    <t>周辺環境への配慮</t>
    <rPh sb="0" eb="2">
      <t>シュウヘン</t>
    </rPh>
    <rPh sb="2" eb="4">
      <t>カンキョウ</t>
    </rPh>
    <rPh sb="6" eb="8">
      <t>ハイリョ</t>
    </rPh>
    <phoneticPr fontId="22"/>
  </si>
  <si>
    <t>運用ﾏﾈｼﾞﾒﾝﾄ</t>
    <rPh sb="0" eb="2">
      <t>ウンヨウ</t>
    </rPh>
    <phoneticPr fontId="22"/>
  </si>
  <si>
    <r>
      <t>3</t>
    </r>
    <r>
      <rPr>
        <b/>
        <sz val="12"/>
        <color indexed="9"/>
        <rFont val="ＭＳ Ｐゴシック"/>
        <family val="3"/>
        <charset val="128"/>
      </rPr>
      <t>　設計上の配慮事項</t>
    </r>
    <rPh sb="2" eb="4">
      <t>セッケイ</t>
    </rPh>
    <rPh sb="4" eb="5">
      <t>ジョウ</t>
    </rPh>
    <rPh sb="6" eb="8">
      <t>ハイリョ</t>
    </rPh>
    <rPh sb="8" eb="10">
      <t>ジコウ</t>
    </rPh>
    <phoneticPr fontId="22"/>
  </si>
  <si>
    <t>総合</t>
    <rPh sb="0" eb="2">
      <t>ｿｳｺﾞｳ</t>
    </rPh>
    <phoneticPr fontId="35" type="noConversion"/>
  </si>
  <si>
    <t>その他</t>
    <rPh sb="2" eb="3">
      <t>ﾀ</t>
    </rPh>
    <phoneticPr fontId="35"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</si>
  <si>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5" type="noConversion"/>
  </si>
  <si>
    <t>注3</t>
    <rPh sb="0" eb="1">
      <t>チュウ</t>
    </rPh>
    <phoneticPr fontId="22"/>
  </si>
  <si>
    <t>心理性・快適性</t>
    <rPh sb="0" eb="1">
      <t>ｺｺﾛ</t>
    </rPh>
    <rPh sb="1" eb="3">
      <t>ﾘｾｲ</t>
    </rPh>
    <rPh sb="4" eb="7">
      <t>ｶｲﾃｷｾｲ</t>
    </rPh>
    <phoneticPr fontId="35" type="noConversion"/>
  </si>
  <si>
    <t>■レベル　1</t>
    <phoneticPr fontId="22"/>
  </si>
  <si>
    <t>個室8㎡/床で、かつ多床室6㎡/床以上。</t>
    <phoneticPr fontId="22"/>
  </si>
  <si>
    <t>シングル15㎡以上、かつツイン22㎡以上。</t>
    <phoneticPr fontId="22"/>
  </si>
  <si>
    <t>シングル22㎡以上、かつツイン32㎡以上。</t>
    <phoneticPr fontId="22"/>
  </si>
  <si>
    <t>個室10㎡/床で、かつ多床室8㎡/床以上。</t>
    <phoneticPr fontId="22"/>
  </si>
  <si>
    <t>シングル30㎡以上、かつツイン40㎡以上。</t>
    <phoneticPr fontId="22"/>
  </si>
  <si>
    <t>レベル</t>
    <phoneticPr fontId="22"/>
  </si>
  <si>
    <t>建物全体・共用部分</t>
    <phoneticPr fontId="22"/>
  </si>
  <si>
    <t>ホ・住</t>
    <phoneticPr fontId="22"/>
  </si>
  <si>
    <t>病・ホ</t>
    <rPh sb="0" eb="1">
      <t>ビョウ</t>
    </rPh>
    <phoneticPr fontId="22"/>
  </si>
  <si>
    <t>会話等の話の内容がわかる。</t>
    <rPh sb="0" eb="2">
      <t>カイワ</t>
    </rPh>
    <rPh sb="2" eb="3">
      <t>トウ</t>
    </rPh>
    <rPh sb="4" eb="5">
      <t>ハナシ</t>
    </rPh>
    <rPh sb="6" eb="8">
      <t>ナイヨウ</t>
    </rPh>
    <phoneticPr fontId="22"/>
  </si>
  <si>
    <t>　　　　　　　　　　　　　　　　　</t>
  </si>
  <si>
    <t>人の話し声がほとんど聞こえない。</t>
  </si>
  <si>
    <t>テレビ、ラジオ、会話等の一般の発生音が通常では聞こえない。</t>
  </si>
  <si>
    <t>隣戸の気配を感じない。</t>
  </si>
  <si>
    <t>Dr-30未満</t>
  </si>
  <si>
    <t>Dr-35未満</t>
  </si>
  <si>
    <t xml:space="preserve">Dr-30 </t>
  </si>
  <si>
    <t>Dr-35</t>
  </si>
  <si>
    <t>Dr-40</t>
  </si>
  <si>
    <t>事・学・物・飲・会・病・ホ・工・住</t>
    <rPh sb="14" eb="15">
      <t>コウ</t>
    </rPh>
    <rPh sb="16" eb="17">
      <t>ジュウ</t>
    </rPh>
    <phoneticPr fontId="22"/>
  </si>
  <si>
    <t>病・ホ</t>
    <rPh sb="0" eb="1">
      <t>ヤマイ</t>
    </rPh>
    <phoneticPr fontId="22"/>
  </si>
  <si>
    <t>窓,外壁,屋根や床（特にピロティ）において室内への熱の侵入に対しての配慮が十分でなく、日射遮蔽性能や断熱性能が低い。</t>
  </si>
  <si>
    <t>窓,外壁,屋根や床（特にピロティ）において、室内への熱の侵入に対しての配慮がなされており、実用上、日射遮蔽性能および断熱性能に問題がない。</t>
  </si>
  <si>
    <t>窓,外壁,屋根や床（特にピロティ）において、室内への熱の侵入に対して、十分な配慮がなされており、最良の日射遮蔽性能および断熱性能を有する。</t>
  </si>
  <si>
    <t>窓システム、外壁、屋根や床（特にピロティ）において熱の侵入に対して配慮が無く、断熱性能が低い。
（窓システムSC：0.7程度、U=6.0(W/m2K) 程度、外壁・その他：U=3.0(W/m2K) 程度）</t>
  </si>
  <si>
    <t>←　直接入力</t>
    <rPh sb="2" eb="4">
      <t>チョクセツ</t>
    </rPh>
    <rPh sb="4" eb="6">
      <t>ニュウリョク</t>
    </rPh>
    <phoneticPr fontId="22"/>
  </si>
  <si>
    <t>延床面積</t>
    <rPh sb="0" eb="4">
      <t>ノベユカメンセキ</t>
    </rPh>
    <phoneticPr fontId="22"/>
  </si>
  <si>
    <t>　</t>
  </si>
  <si>
    <t>吹出し口、吸込み口からの騒音</t>
    <rPh sb="12" eb="14">
      <t>ソウオン</t>
    </rPh>
    <phoneticPr fontId="22"/>
  </si>
  <si>
    <t>低騒音型吹出し口、低騒音型吸込み口、位置、風量・風速の適正化など</t>
  </si>
  <si>
    <t>○</t>
  </si>
  <si>
    <t>教室の天井高2.7m以上。</t>
    <rPh sb="0" eb="2">
      <t>キョウシツ</t>
    </rPh>
    <rPh sb="3" eb="5">
      <t>テンジョウ</t>
    </rPh>
    <rPh sb="5" eb="6">
      <t>ダカ</t>
    </rPh>
    <rPh sb="10" eb="12">
      <t>イジョウ</t>
    </rPh>
    <phoneticPr fontId="22"/>
  </si>
  <si>
    <t>教室の天井高3.0m以上。</t>
  </si>
  <si>
    <t>教室の天井高3.1m以上。</t>
  </si>
  <si>
    <t>教室の天井高3.2m以上。</t>
  </si>
  <si>
    <t>物</t>
    <rPh sb="0" eb="1">
      <t>モノ</t>
    </rPh>
    <phoneticPr fontId="22"/>
  </si>
  <si>
    <r>
      <t xml:space="preserve">1.2.3 </t>
    </r>
    <r>
      <rPr>
        <b/>
        <sz val="10"/>
        <rFont val="ＭＳ Ｐゴシック"/>
        <family val="3"/>
        <charset val="128"/>
      </rPr>
      <t>内装計画</t>
    </r>
    <rPh sb="6" eb="8">
      <t>ナイソウ</t>
    </rPh>
    <rPh sb="8" eb="10">
      <t>ケイカク</t>
    </rPh>
    <phoneticPr fontId="22"/>
  </si>
  <si>
    <t>評価する取組み</t>
    <rPh sb="0" eb="2">
      <t>ヒョウカ</t>
    </rPh>
    <rPh sb="4" eb="6">
      <t>トリク</t>
    </rPh>
    <phoneticPr fontId="22"/>
  </si>
  <si>
    <t>建物全体のコンセプトが明確にあり、内装計画の段階で、コンセプトを反映するための取り組みが具体的にされている。（例えばエコロジーをテーマとする場合に天然素材やエコマテリアルを多用する等）</t>
    <rPh sb="87" eb="88">
      <t>ヨウ</t>
    </rPh>
    <phoneticPr fontId="22"/>
  </si>
  <si>
    <t>建物全体のコンセプトが明確にあり、内装計画の段階で、コンセプトを反映するための取り組みが具体的にされている。（例えば、エコロジーをテーマとする場合に天然素材やエコマテリアルを多用する等）</t>
    <rPh sb="55" eb="56">
      <t>タト</t>
    </rPh>
    <rPh sb="88" eb="89">
      <t>ヨウ</t>
    </rPh>
    <phoneticPr fontId="22"/>
  </si>
  <si>
    <t>その他の燃料
（　　　）</t>
    <rPh sb="2" eb="3">
      <t>タ</t>
    </rPh>
    <rPh sb="4" eb="6">
      <t>ネンリョウ</t>
    </rPh>
    <phoneticPr fontId="22"/>
  </si>
  <si>
    <t>上水使用</t>
    <rPh sb="0" eb="1">
      <t>ウエ</t>
    </rPh>
    <rPh sb="1" eb="2">
      <t>ミズ</t>
    </rPh>
    <rPh sb="2" eb="4">
      <t>シヨウ</t>
    </rPh>
    <phoneticPr fontId="22"/>
  </si>
  <si>
    <t>kg/㎡</t>
  </si>
  <si>
    <t xml:space="preserve"> 百貨店、マーケット など</t>
    <rPh sb="1" eb="4">
      <t>ヒャッカテン</t>
    </rPh>
    <phoneticPr fontId="22"/>
  </si>
  <si>
    <t>統計値より、一次エネルギー消費量の平均値を引用</t>
    <rPh sb="0" eb="2">
      <t>トウケイ</t>
    </rPh>
    <rPh sb="2" eb="3">
      <t>アタイ</t>
    </rPh>
    <rPh sb="6" eb="8">
      <t>イチジ</t>
    </rPh>
    <rPh sb="13" eb="16">
      <t>ショウヒリョウ</t>
    </rPh>
    <rPh sb="17" eb="20">
      <t>ヘイキンチ</t>
    </rPh>
    <rPh sb="21" eb="23">
      <t>インヨウ</t>
    </rPh>
    <phoneticPr fontId="22"/>
  </si>
  <si>
    <t>LR1の取り組みによる省エネルギー量を推定</t>
    <rPh sb="4" eb="5">
      <t>ト</t>
    </rPh>
    <rPh sb="6" eb="7">
      <t>ク</t>
    </rPh>
    <rPh sb="11" eb="12">
      <t>ショウ</t>
    </rPh>
    <rPh sb="17" eb="18">
      <t>リョウ</t>
    </rPh>
    <rPh sb="19" eb="21">
      <t>スイテイ</t>
    </rPh>
    <phoneticPr fontId="22"/>
  </si>
  <si>
    <t>電力</t>
    <rPh sb="0" eb="2">
      <t>デンリョク</t>
    </rPh>
    <phoneticPr fontId="22"/>
  </si>
  <si>
    <t>搬送熱量/ポンプ消費エネルギー（2次エネルギー基準）</t>
  </si>
  <si>
    <t>空調機搬送ATF</t>
  </si>
  <si>
    <t>搬送熱量/ファン消費エネルギー（2次エネルギー基準）</t>
  </si>
  <si>
    <t>全熱交換器効果</t>
  </si>
  <si>
    <t>削減熱量、エネルギー量</t>
  </si>
  <si>
    <t>7）建物利用者等の参加性
施設利用者満足度評価（POE）の実施、コーポラティブ住宅等、設計プロセスに建物利用者が参加している。</t>
    <phoneticPr fontId="22"/>
  </si>
  <si>
    <t>または
居住者や入居者が植栽管理・清掃活動、運用計画の立案を直接行うなど、建物の維持管理に対して居住者が参加している。</t>
    <phoneticPr fontId="22"/>
  </si>
  <si>
    <t>Ⅵ その他</t>
    <phoneticPr fontId="22"/>
  </si>
  <si>
    <t>■　環境設計の配慮事項</t>
    <rPh sb="2" eb="4">
      <t>カンキョウ</t>
    </rPh>
    <rPh sb="4" eb="6">
      <t>セッケイ</t>
    </rPh>
    <rPh sb="7" eb="9">
      <t>ハイリョ</t>
    </rPh>
    <rPh sb="9" eb="11">
      <t>ジコウ</t>
    </rPh>
    <phoneticPr fontId="22"/>
  </si>
  <si>
    <t>■建物名称</t>
    <rPh sb="1" eb="3">
      <t>タテモノ</t>
    </rPh>
    <rPh sb="3" eb="5">
      <t>メイショウ</t>
    </rPh>
    <phoneticPr fontId="22"/>
  </si>
  <si>
    <t>計画上の配慮事項</t>
    <rPh sb="0" eb="2">
      <t>ケイカク</t>
    </rPh>
    <rPh sb="2" eb="3">
      <t>ジョウ</t>
    </rPh>
    <rPh sb="4" eb="6">
      <t>ハイリョ</t>
    </rPh>
    <rPh sb="6" eb="8">
      <t>ジコウ</t>
    </rPh>
    <phoneticPr fontId="22"/>
  </si>
  <si>
    <t>総合</t>
    <rPh sb="0" eb="2">
      <t>ソウゴウ</t>
    </rPh>
    <phoneticPr fontId="22"/>
  </si>
  <si>
    <t>Q1 
室内環境</t>
    <rPh sb="4" eb="6">
      <t>シツナイ</t>
    </rPh>
    <rPh sb="6" eb="8">
      <t>カンキョウ</t>
    </rPh>
    <phoneticPr fontId="22"/>
  </si>
  <si>
    <t>Q2 
サービス性能</t>
    <rPh sb="8" eb="10">
      <t>セイノウ</t>
    </rPh>
    <phoneticPr fontId="22"/>
  </si>
  <si>
    <t>Q3 
室外環境（敷地内）</t>
    <rPh sb="4" eb="6">
      <t>シツガイ</t>
    </rPh>
    <rPh sb="6" eb="8">
      <t>カンキョウ</t>
    </rPh>
    <rPh sb="9" eb="11">
      <t>シキチ</t>
    </rPh>
    <rPh sb="11" eb="12">
      <t>ナイ</t>
    </rPh>
    <phoneticPr fontId="22"/>
  </si>
  <si>
    <t>LR2 
資源・マテリアル</t>
    <rPh sb="5" eb="7">
      <t>シゲン</t>
    </rPh>
    <phoneticPr fontId="22"/>
  </si>
  <si>
    <t>その他</t>
    <rPh sb="2" eb="3">
      <t>ホカ</t>
    </rPh>
    <phoneticPr fontId="22"/>
  </si>
  <si>
    <t>照度均斉度</t>
    <phoneticPr fontId="22"/>
  </si>
  <si>
    <t>4.1.1</t>
    <phoneticPr fontId="22"/>
  </si>
  <si>
    <t>4.1.2</t>
    <phoneticPr fontId="22"/>
  </si>
  <si>
    <t xml:space="preserve"> アスベスト対策</t>
    <phoneticPr fontId="22"/>
  </si>
  <si>
    <t>4.1.3</t>
    <phoneticPr fontId="22"/>
  </si>
  <si>
    <t>4.1.4</t>
    <phoneticPr fontId="22"/>
  </si>
  <si>
    <t>4.2.1</t>
    <phoneticPr fontId="22"/>
  </si>
  <si>
    <t>4.2.2</t>
    <phoneticPr fontId="22"/>
  </si>
  <si>
    <t>4.2.3</t>
    <phoneticPr fontId="22"/>
  </si>
  <si>
    <t>4.2.4</t>
    <phoneticPr fontId="22"/>
  </si>
  <si>
    <t>給気計画</t>
    <phoneticPr fontId="22"/>
  </si>
  <si>
    <t>4.3.1</t>
    <phoneticPr fontId="22"/>
  </si>
  <si>
    <t>CO2の監視</t>
    <phoneticPr fontId="22"/>
  </si>
  <si>
    <t>4.3.2</t>
    <phoneticPr fontId="22"/>
  </si>
  <si>
    <t>喫煙の制御</t>
    <phoneticPr fontId="22"/>
  </si>
  <si>
    <t>Q2</t>
    <phoneticPr fontId="22"/>
  </si>
  <si>
    <t>サービス性能</t>
    <phoneticPr fontId="22"/>
  </si>
  <si>
    <t>1.1.1</t>
    <phoneticPr fontId="22"/>
  </si>
  <si>
    <t>1.1.2</t>
    <phoneticPr fontId="22"/>
  </si>
  <si>
    <t>高度情報通信設備対応</t>
    <phoneticPr fontId="22"/>
  </si>
  <si>
    <t>1.1.3</t>
    <phoneticPr fontId="22"/>
  </si>
  <si>
    <t>1.2.1</t>
    <phoneticPr fontId="22"/>
  </si>
  <si>
    <t>1.2.2</t>
    <phoneticPr fontId="22"/>
  </si>
  <si>
    <t>1.2.3</t>
    <phoneticPr fontId="22"/>
  </si>
  <si>
    <t xml:space="preserve"> Q2 1.3</t>
    <phoneticPr fontId="22"/>
  </si>
  <si>
    <t>0</t>
    <phoneticPr fontId="22"/>
  </si>
  <si>
    <t>2.1.1</t>
    <phoneticPr fontId="22"/>
  </si>
  <si>
    <t>2.1.2</t>
    <phoneticPr fontId="22"/>
  </si>
  <si>
    <t>2.1.2</t>
    <phoneticPr fontId="22"/>
  </si>
  <si>
    <t>2.2.1</t>
    <phoneticPr fontId="22"/>
  </si>
  <si>
    <t>2.2.1</t>
    <phoneticPr fontId="22"/>
  </si>
  <si>
    <t>2.2.2</t>
    <phoneticPr fontId="22"/>
  </si>
  <si>
    <t>2.2.3</t>
    <phoneticPr fontId="22"/>
  </si>
  <si>
    <t>2.2.4</t>
    <phoneticPr fontId="22"/>
  </si>
  <si>
    <t>2.2.4</t>
    <phoneticPr fontId="22"/>
  </si>
  <si>
    <t>2.2.5</t>
    <phoneticPr fontId="22"/>
  </si>
  <si>
    <t>2.2.5</t>
    <phoneticPr fontId="22"/>
  </si>
  <si>
    <t>2.2.6</t>
    <phoneticPr fontId="22"/>
  </si>
  <si>
    <t xml:space="preserve"> Q2 2</t>
    <phoneticPr fontId="22"/>
  </si>
  <si>
    <t>2.3.1</t>
    <phoneticPr fontId="22"/>
  </si>
  <si>
    <t xml:space="preserve"> Q2 2.3</t>
    <phoneticPr fontId="22"/>
  </si>
  <si>
    <t>2.3.1</t>
    <phoneticPr fontId="22"/>
  </si>
  <si>
    <t>2.3.2</t>
    <phoneticPr fontId="22"/>
  </si>
  <si>
    <t xml:space="preserve"> Q2 2.3</t>
    <phoneticPr fontId="22"/>
  </si>
  <si>
    <t>一次ｴﾈﾙｷﾞｰあたり　非住宅</t>
    <rPh sb="0" eb="2">
      <t>イチジ</t>
    </rPh>
    <rPh sb="12" eb="13">
      <t>ヒ</t>
    </rPh>
    <rPh sb="13" eb="15">
      <t>ジュウタク</t>
    </rPh>
    <phoneticPr fontId="22"/>
  </si>
  <si>
    <t>同上　　住宅（専有部）</t>
    <rPh sb="0" eb="2">
      <t>ドウジョウ</t>
    </rPh>
    <rPh sb="4" eb="6">
      <t>ジュウタク</t>
    </rPh>
    <rPh sb="7" eb="9">
      <t>センユウ</t>
    </rPh>
    <rPh sb="9" eb="10">
      <t>ブ</t>
    </rPh>
    <phoneticPr fontId="22"/>
  </si>
  <si>
    <t>木部の防腐剤</t>
    <rPh sb="0" eb="2">
      <t>モクブ</t>
    </rPh>
    <rPh sb="3" eb="6">
      <t>ボウフザイ</t>
    </rPh>
    <phoneticPr fontId="22"/>
  </si>
  <si>
    <r>
      <t xml:space="preserve">3.2.1 </t>
    </r>
    <r>
      <rPr>
        <b/>
        <sz val="10"/>
        <rFont val="ＭＳ Ｐゴシック"/>
        <family val="3"/>
        <charset val="128"/>
      </rPr>
      <t>消火剤</t>
    </r>
    <rPh sb="6" eb="8">
      <t>ショウカ</t>
    </rPh>
    <rPh sb="8" eb="9">
      <t>ザイ</t>
    </rPh>
    <phoneticPr fontId="22"/>
  </si>
  <si>
    <r>
      <t xml:space="preserve">3.2.2 </t>
    </r>
    <r>
      <rPr>
        <b/>
        <sz val="10"/>
        <rFont val="ＭＳ Ｐゴシック"/>
        <family val="3"/>
        <charset val="128"/>
      </rPr>
      <t>発泡剤（断熱材等）</t>
    </r>
    <rPh sb="6" eb="8">
      <t>ハッポウ</t>
    </rPh>
    <rPh sb="8" eb="9">
      <t>ザイ</t>
    </rPh>
    <rPh sb="10" eb="13">
      <t>ダンネツザイ</t>
    </rPh>
    <rPh sb="13" eb="14">
      <t>トウ</t>
    </rPh>
    <phoneticPr fontId="22"/>
  </si>
  <si>
    <t>ODP及びGWPが高いハロン消火剤を使用している（クリティカルユース含む）。</t>
    <rPh sb="3" eb="4">
      <t>オヨ</t>
    </rPh>
    <rPh sb="9" eb="10">
      <t>タカ</t>
    </rPh>
    <rPh sb="14" eb="17">
      <t>ショウカザイ</t>
    </rPh>
    <rPh sb="18" eb="20">
      <t>シヨウ</t>
    </rPh>
    <rPh sb="34" eb="35">
      <t>フク</t>
    </rPh>
    <phoneticPr fontId="22"/>
  </si>
  <si>
    <t>ODP＝0.2以上の発泡剤を用いた断熱材等を使用している。</t>
    <rPh sb="10" eb="12">
      <t>ハッポウ</t>
    </rPh>
    <rPh sb="12" eb="13">
      <t>ザイ</t>
    </rPh>
    <rPh sb="14" eb="15">
      <t>モチ</t>
    </rPh>
    <rPh sb="17" eb="20">
      <t>ダンネツザイ</t>
    </rPh>
    <rPh sb="20" eb="21">
      <t>トウ</t>
    </rPh>
    <rPh sb="22" eb="24">
      <t>シヨウ</t>
    </rPh>
    <phoneticPr fontId="22"/>
  </si>
  <si>
    <t>ハロゲン化物消火剤を使用している。</t>
    <rPh sb="4" eb="5">
      <t>カ</t>
    </rPh>
    <rPh sb="5" eb="6">
      <t>ブツ</t>
    </rPh>
    <rPh sb="6" eb="9">
      <t>ショウカザイ</t>
    </rPh>
    <rPh sb="10" eb="12">
      <t>シヨウ</t>
    </rPh>
    <phoneticPr fontId="22"/>
  </si>
  <si>
    <t>ODP＝0.2未満の発泡剤を用いた断熱材等を使用している。</t>
    <rPh sb="10" eb="12">
      <t>ハッポウ</t>
    </rPh>
    <rPh sb="12" eb="13">
      <t>ザイ</t>
    </rPh>
    <rPh sb="14" eb="15">
      <t>モチ</t>
    </rPh>
    <rPh sb="17" eb="21">
      <t>ダンネツザイナド</t>
    </rPh>
    <rPh sb="22" eb="24">
      <t>シヨウ</t>
    </rPh>
    <phoneticPr fontId="22"/>
  </si>
  <si>
    <t>ODP＝0.01未満の発泡剤を用いた断熱材等を使用している。</t>
    <rPh sb="11" eb="13">
      <t>ハッポウ</t>
    </rPh>
    <rPh sb="13" eb="14">
      <t>ザイ</t>
    </rPh>
    <rPh sb="15" eb="16">
      <t>モチ</t>
    </rPh>
    <rPh sb="18" eb="22">
      <t>ダンネツザイナド</t>
    </rPh>
    <rPh sb="23" eb="25">
      <t>シヨウ</t>
    </rPh>
    <phoneticPr fontId="22"/>
  </si>
  <si>
    <t>錆止め</t>
    <rPh sb="0" eb="1">
      <t>サビ</t>
    </rPh>
    <rPh sb="1" eb="2">
      <t>ド</t>
    </rPh>
    <phoneticPr fontId="22"/>
  </si>
  <si>
    <t>躯体</t>
    <rPh sb="0" eb="1">
      <t>ムクロ</t>
    </rPh>
    <rPh sb="1" eb="2">
      <t>タイ</t>
    </rPh>
    <phoneticPr fontId="22"/>
  </si>
  <si>
    <t>躯体以外</t>
    <rPh sb="2" eb="4">
      <t>イガイ</t>
    </rPh>
    <phoneticPr fontId="22"/>
  </si>
  <si>
    <t>塗り床</t>
    <rPh sb="0" eb="1">
      <t>ヌ</t>
    </rPh>
    <rPh sb="2" eb="3">
      <t>ユカ</t>
    </rPh>
    <phoneticPr fontId="22"/>
  </si>
  <si>
    <t>備考　　　　注1：</t>
    <rPh sb="6" eb="7">
      <t>チュウ</t>
    </rPh>
    <phoneticPr fontId="22"/>
  </si>
  <si>
    <t>建材種別</t>
    <rPh sb="0" eb="2">
      <t>ケンザイ</t>
    </rPh>
    <rPh sb="2" eb="4">
      <t>シュベツ</t>
    </rPh>
    <phoneticPr fontId="22"/>
  </si>
  <si>
    <t>接着剤</t>
    <rPh sb="0" eb="3">
      <t>セッチャクザイ</t>
    </rPh>
    <phoneticPr fontId="22"/>
  </si>
  <si>
    <t>ビニル床タイル・シート用接着剤</t>
    <rPh sb="3" eb="4">
      <t>ユカ</t>
    </rPh>
    <rPh sb="11" eb="12">
      <t>ヨウ</t>
    </rPh>
    <rPh sb="12" eb="15">
      <t>セッチャクザイ</t>
    </rPh>
    <phoneticPr fontId="22"/>
  </si>
  <si>
    <t>タイル用接着剤</t>
    <rPh sb="3" eb="4">
      <t>ヨウ</t>
    </rPh>
    <rPh sb="4" eb="7">
      <t>セッチャクザイ</t>
    </rPh>
    <phoneticPr fontId="22"/>
  </si>
  <si>
    <t>壁紙用接着剤</t>
    <rPh sb="0" eb="2">
      <t>カベガミ</t>
    </rPh>
    <rPh sb="2" eb="3">
      <t>ヨウ</t>
    </rPh>
    <rPh sb="3" eb="6">
      <t>セッチャクザイ</t>
    </rPh>
    <phoneticPr fontId="22"/>
  </si>
  <si>
    <t>フローリングボード用接着剤</t>
    <rPh sb="9" eb="10">
      <t>ヨウ</t>
    </rPh>
    <rPh sb="10" eb="13">
      <t>セッチャクザイ</t>
    </rPh>
    <phoneticPr fontId="22"/>
  </si>
  <si>
    <t>シーリング材</t>
    <rPh sb="5" eb="6">
      <t>ザイ</t>
    </rPh>
    <phoneticPr fontId="22"/>
  </si>
  <si>
    <t>サッシ用シーリング</t>
    <rPh sb="3" eb="4">
      <t>ヨウ</t>
    </rPh>
    <phoneticPr fontId="22"/>
  </si>
  <si>
    <t>ガラス用シーリング</t>
    <rPh sb="3" eb="4">
      <t>ヨウ</t>
    </rPh>
    <phoneticPr fontId="22"/>
  </si>
  <si>
    <t>タイル目地シーリング</t>
    <rPh sb="3" eb="5">
      <t>メジ</t>
    </rPh>
    <phoneticPr fontId="22"/>
  </si>
  <si>
    <t>打ち継ぎ目地</t>
    <rPh sb="0" eb="1">
      <t>ウ</t>
    </rPh>
    <rPh sb="2" eb="3">
      <t>ツ</t>
    </rPh>
    <rPh sb="4" eb="5">
      <t>メ</t>
    </rPh>
    <rPh sb="5" eb="6">
      <t>ジ</t>
    </rPh>
    <phoneticPr fontId="22"/>
  </si>
  <si>
    <t>防水工事材料</t>
    <rPh sb="0" eb="2">
      <t>ボウスイ</t>
    </rPh>
    <rPh sb="2" eb="4">
      <t>コウジ</t>
    </rPh>
    <rPh sb="4" eb="6">
      <t>ザイリョウ</t>
    </rPh>
    <phoneticPr fontId="22"/>
  </si>
  <si>
    <t>防水工事のプライマー</t>
    <rPh sb="0" eb="2">
      <t>ボウスイ</t>
    </rPh>
    <rPh sb="2" eb="4">
      <t>コウジ</t>
    </rPh>
    <phoneticPr fontId="22"/>
  </si>
  <si>
    <t>a（傾き）</t>
    <rPh sb="2" eb="3">
      <t>カタム</t>
    </rPh>
    <phoneticPr fontId="22"/>
  </si>
  <si>
    <t>ｂ（切片）</t>
    <rPh sb="2" eb="4">
      <t>セッペン</t>
    </rPh>
    <phoneticPr fontId="22"/>
  </si>
  <si>
    <t>等級3</t>
    <rPh sb="0" eb="2">
      <t>トウキュウ</t>
    </rPh>
    <phoneticPr fontId="22"/>
  </si>
  <si>
    <t>VI その他</t>
    <phoneticPr fontId="22"/>
  </si>
  <si>
    <t>合計＝</t>
    <phoneticPr fontId="22"/>
  </si>
  <si>
    <t>1.2.1</t>
    <phoneticPr fontId="22"/>
  </si>
  <si>
    <t>雨水利用システム導入の有無</t>
    <phoneticPr fontId="22"/>
  </si>
  <si>
    <t>1.2.2</t>
    <phoneticPr fontId="22"/>
  </si>
  <si>
    <t>2.1</t>
    <phoneticPr fontId="22"/>
  </si>
  <si>
    <t>2.1</t>
    <phoneticPr fontId="22"/>
  </si>
  <si>
    <t>2.2</t>
    <phoneticPr fontId="22"/>
  </si>
  <si>
    <t>2.2</t>
    <phoneticPr fontId="22"/>
  </si>
  <si>
    <t>2.3</t>
    <phoneticPr fontId="22"/>
  </si>
  <si>
    <t>2.3</t>
    <phoneticPr fontId="22"/>
  </si>
  <si>
    <t>2.4</t>
    <phoneticPr fontId="22"/>
  </si>
  <si>
    <t>2.4</t>
    <phoneticPr fontId="22"/>
  </si>
  <si>
    <t>2.5</t>
    <phoneticPr fontId="22"/>
  </si>
  <si>
    <t>持続可能な森林から産出された木材</t>
    <phoneticPr fontId="22"/>
  </si>
  <si>
    <t>2.6</t>
    <phoneticPr fontId="22"/>
  </si>
  <si>
    <t>事・学・物・飲・会・病・ホ・工</t>
    <rPh sb="2" eb="3">
      <t>ガク</t>
    </rPh>
    <rPh sb="4" eb="5">
      <t>ブツ</t>
    </rPh>
    <rPh sb="6" eb="7">
      <t>イン</t>
    </rPh>
    <rPh sb="8" eb="9">
      <t>カイ</t>
    </rPh>
    <rPh sb="14" eb="15">
      <t>コウ</t>
    </rPh>
    <phoneticPr fontId="22"/>
  </si>
  <si>
    <t>空気取り入れ口は敷地周囲の状況を勘案して、汚染源のない方位に設けられている。かつ、各種排気口と異なる方位か、または3ｍ以上離れて設置されている。</t>
  </si>
  <si>
    <t>「光害対策ガイドライン」のチェックリストを満たしている項目が一部である。（1ポイント）</t>
  </si>
  <si>
    <t>「光害対策ガイドライン」のチェックリストの項目の過半を満たしている。（2ポイント）</t>
  </si>
  <si>
    <t>2)　広告物照明における光害対策</t>
    <rPh sb="5" eb="6">
      <t>ブツ</t>
    </rPh>
    <rPh sb="6" eb="8">
      <t>ショウメイ</t>
    </rPh>
    <phoneticPr fontId="22"/>
  </si>
  <si>
    <t>S造、</t>
    <rPh sb="1" eb="2">
      <t>ゾウ</t>
    </rPh>
    <phoneticPr fontId="22"/>
  </si>
  <si>
    <t>LR2/2.2 削減分</t>
    <rPh sb="8" eb="10">
      <t>サクゲン</t>
    </rPh>
    <rPh sb="10" eb="11">
      <t>ブン</t>
    </rPh>
    <phoneticPr fontId="22"/>
  </si>
  <si>
    <t>LR2/2.3 削減分</t>
    <rPh sb="8" eb="10">
      <t>サクゲン</t>
    </rPh>
    <rPh sb="10" eb="11">
      <t>ブン</t>
    </rPh>
    <phoneticPr fontId="22"/>
  </si>
  <si>
    <t>削減後</t>
    <rPh sb="0" eb="2">
      <t>サクゲン</t>
    </rPh>
    <rPh sb="2" eb="3">
      <t>ゴ</t>
    </rPh>
    <phoneticPr fontId="22"/>
  </si>
  <si>
    <t>電力　（実排出係数）</t>
    <rPh sb="0" eb="2">
      <t>デンリョク</t>
    </rPh>
    <rPh sb="4" eb="5">
      <t>ジツ</t>
    </rPh>
    <rPh sb="5" eb="7">
      <t>ハイシュツ</t>
    </rPh>
    <rPh sb="7" eb="9">
      <t>ケイスウ</t>
    </rPh>
    <phoneticPr fontId="29"/>
  </si>
  <si>
    <t>事務室の天井高2.5m以上となっており、かつ、すべての執務者が十分な屋外の情報を得られるように窓が設置されている。</t>
    <phoneticPr fontId="22"/>
  </si>
  <si>
    <t>売場の天井高3.0m以上。</t>
    <phoneticPr fontId="22"/>
  </si>
  <si>
    <t>住居・宿泊部の天井高2.3m以上。</t>
    <phoneticPr fontId="22"/>
  </si>
  <si>
    <t>事務室の天井高2.7m以上となっており、かつ、すべての執務者が十分な屋外の情報を得られるように窓が設置されている。</t>
    <phoneticPr fontId="22"/>
  </si>
  <si>
    <t>売場の天井高3.3m以上。</t>
    <phoneticPr fontId="22"/>
  </si>
  <si>
    <t>住居・宿泊部の天井高2.5m以上。</t>
    <phoneticPr fontId="22"/>
  </si>
  <si>
    <t>教室・専有部のほぼ全体（80%以上）が、外皮に２方向面しており、有効な採光・通風が確保されている。</t>
    <rPh sb="0" eb="2">
      <t>キョウシツ</t>
    </rPh>
    <rPh sb="3" eb="5">
      <t>センユウ</t>
    </rPh>
    <rPh sb="5" eb="6">
      <t>ブ</t>
    </rPh>
    <phoneticPr fontId="22"/>
  </si>
  <si>
    <t>2300N/㎡以上～2900N/㎡未満</t>
    <phoneticPr fontId="22"/>
  </si>
  <si>
    <t>1800N/㎡以上～2100N/㎡未満</t>
    <phoneticPr fontId="22"/>
  </si>
  <si>
    <t>3500N/㎡以上～4500N/㎡未満</t>
    <phoneticPr fontId="22"/>
  </si>
  <si>
    <t>4200N/㎡以上～5200N/㎡未満</t>
    <phoneticPr fontId="22"/>
  </si>
  <si>
    <t>適正な水圧、防音管巻き、管の防振支持金具、便器の防振支持、浴室の防振支持、位置など</t>
    <rPh sb="0" eb="2">
      <t>テキセイ</t>
    </rPh>
    <rPh sb="3" eb="5">
      <t>スイアツ</t>
    </rPh>
    <rPh sb="6" eb="8">
      <t>ボウオン</t>
    </rPh>
    <rPh sb="8" eb="9">
      <t>カン</t>
    </rPh>
    <rPh sb="9" eb="10">
      <t>マ</t>
    </rPh>
    <rPh sb="12" eb="13">
      <t>カン</t>
    </rPh>
    <rPh sb="14" eb="16">
      <t>ボウシン</t>
    </rPh>
    <rPh sb="16" eb="18">
      <t>シジ</t>
    </rPh>
    <rPh sb="18" eb="20">
      <t>カナグ</t>
    </rPh>
    <rPh sb="21" eb="23">
      <t>ベンキ</t>
    </rPh>
    <rPh sb="24" eb="28">
      <t>ボウシンシジ</t>
    </rPh>
    <rPh sb="29" eb="31">
      <t>ヨクシツ</t>
    </rPh>
    <rPh sb="32" eb="36">
      <t>ボウシンシジ</t>
    </rPh>
    <rPh sb="37" eb="39">
      <t>イチ</t>
    </rPh>
    <phoneticPr fontId="22"/>
  </si>
  <si>
    <t>ウォーターハンマー</t>
  </si>
  <si>
    <t>適正な水圧、ウォーターハンマー防止器の採用など</t>
  </si>
  <si>
    <t>エアコン室内機等からの騒音</t>
  </si>
  <si>
    <t>低騒音タイプの機器の採用など</t>
  </si>
  <si>
    <t>エアコン室外機からの騒音</t>
  </si>
  <si>
    <t>防振ゴム、防振マット、低騒音タイプの機器</t>
  </si>
  <si>
    <t>換気扇からの騒音</t>
    <rPh sb="6" eb="8">
      <t>ソウオン</t>
    </rPh>
    <phoneticPr fontId="22"/>
  </si>
  <si>
    <t>遮音</t>
    <rPh sb="0" eb="2">
      <t>シャオン</t>
    </rPh>
    <phoneticPr fontId="22"/>
  </si>
  <si>
    <r>
      <t xml:space="preserve">1.2.1 </t>
    </r>
    <r>
      <rPr>
        <b/>
        <sz val="10"/>
        <rFont val="ＭＳ Ｐゴシック"/>
        <family val="3"/>
        <charset val="128"/>
      </rPr>
      <t>開口部遮音性能</t>
    </r>
    <rPh sb="6" eb="9">
      <t>カイコウブ</t>
    </rPh>
    <rPh sb="9" eb="11">
      <t>シャオン</t>
    </rPh>
    <phoneticPr fontId="22"/>
  </si>
  <si>
    <t>建物全体・共用部分</t>
    <phoneticPr fontId="22"/>
  </si>
  <si>
    <t>事・学・物・飲・会・病・ホ・工・住</t>
    <rPh sb="4" eb="5">
      <t>ブツ</t>
    </rPh>
    <rPh sb="8" eb="9">
      <t>カイ</t>
    </rPh>
    <phoneticPr fontId="22"/>
  </si>
  <si>
    <t>騒音が気になる。</t>
    <rPh sb="0" eb="2">
      <t>ソウオン</t>
    </rPh>
    <rPh sb="3" eb="4">
      <t>キ</t>
    </rPh>
    <phoneticPr fontId="22"/>
  </si>
  <si>
    <t>騒音がほとんど気にならない。</t>
    <rPh sb="0" eb="2">
      <t>ソウオン</t>
    </rPh>
    <rPh sb="7" eb="8">
      <t>キ</t>
    </rPh>
    <phoneticPr fontId="22"/>
  </si>
  <si>
    <t>騒音が気にならない</t>
    <rPh sb="0" eb="2">
      <t>ソウオン</t>
    </rPh>
    <rPh sb="3" eb="4">
      <t>キ</t>
    </rPh>
    <phoneticPr fontId="22"/>
  </si>
  <si>
    <t>騒音が気にならない。</t>
    <rPh sb="0" eb="2">
      <t>ソウオン</t>
    </rPh>
    <rPh sb="3" eb="4">
      <t>キ</t>
    </rPh>
    <phoneticPr fontId="22"/>
  </si>
  <si>
    <t>窓システム、外壁、屋根や床（特にピロティ）において、室内への熱の侵入に対して、十分な配慮がなされており、最良の日射遮蔽性能および断熱性能を有する。
（窓システムSC：0.2程度、U=3.0(W/m2K) 程度、外壁その他：U=1.0(W/m2K) 程度）</t>
  </si>
  <si>
    <t xml:space="preserve">  レベル 2</t>
  </si>
  <si>
    <t xml:space="preserve">  レベル 3</t>
  </si>
  <si>
    <t xml:space="preserve">  レベル 4</t>
  </si>
  <si>
    <t xml:space="preserve">  レベル 5</t>
  </si>
  <si>
    <t>1.0％≦ [昼光率] ＜1.25％</t>
    <phoneticPr fontId="22"/>
  </si>
  <si>
    <t>1.25％≦ [昼光率]</t>
    <phoneticPr fontId="22"/>
  </si>
  <si>
    <t xml:space="preserve">2.0％≦ [昼光率] </t>
    <phoneticPr fontId="22"/>
  </si>
  <si>
    <t>住居・宿泊部分</t>
    <phoneticPr fontId="22"/>
  </si>
  <si>
    <t>-</t>
    <phoneticPr fontId="22"/>
  </si>
  <si>
    <t>建物全体・共用部分</t>
    <phoneticPr fontId="22"/>
  </si>
  <si>
    <t>-</t>
    <phoneticPr fontId="22"/>
  </si>
  <si>
    <t>昼光利用設備がない。</t>
    <phoneticPr fontId="22"/>
  </si>
  <si>
    <t>効率評価の事例</t>
    <rPh sb="0" eb="2">
      <t>コウリツ</t>
    </rPh>
    <rPh sb="2" eb="4">
      <t>ヒョウカ</t>
    </rPh>
    <rPh sb="5" eb="7">
      <t>ジレイ</t>
    </rPh>
    <phoneticPr fontId="22"/>
  </si>
  <si>
    <t>設備項目</t>
  </si>
  <si>
    <t>評価項目</t>
  </si>
  <si>
    <t>評価概要</t>
  </si>
  <si>
    <t>備考</t>
  </si>
  <si>
    <t>熱源設備</t>
  </si>
  <si>
    <t>熱源機COP評価</t>
  </si>
  <si>
    <t>製造熱量/熱源機消費エネルギー（1次エネルギー基準）</t>
  </si>
  <si>
    <t>熱源システムCOP評価</t>
  </si>
  <si>
    <t>製造熱量/熱源機+補機消費エネルギー（1次エネルギー基準）</t>
  </si>
  <si>
    <t>地域冷暖房導入を含む</t>
  </si>
  <si>
    <t>熱媒搬送WTF</t>
  </si>
  <si>
    <t>等級1</t>
    <rPh sb="0" eb="2">
      <t>トウキュウ</t>
    </rPh>
    <phoneticPr fontId="22"/>
  </si>
  <si>
    <t>等級2</t>
    <rPh sb="0" eb="2">
      <t>トウキュウ</t>
    </rPh>
    <phoneticPr fontId="22"/>
  </si>
  <si>
    <t>等級4</t>
    <rPh sb="0" eb="2">
      <t>トウキュウ</t>
    </rPh>
    <phoneticPr fontId="22"/>
  </si>
  <si>
    <t>等級未入力</t>
    <rPh sb="0" eb="2">
      <t>トウキュウ</t>
    </rPh>
    <rPh sb="2" eb="5">
      <t>ミニュウリョク</t>
    </rPh>
    <phoneticPr fontId="22"/>
  </si>
  <si>
    <t>MJ/年㎡</t>
    <rPh sb="3" eb="4">
      <t>ネン</t>
    </rPh>
    <phoneticPr fontId="22"/>
  </si>
  <si>
    <t>レベル３を満たし、かつ複数の機器の使い分けが可能</t>
    <rPh sb="11" eb="13">
      <t>フクスウ</t>
    </rPh>
    <rPh sb="14" eb="16">
      <t>キキ</t>
    </rPh>
    <rPh sb="17" eb="18">
      <t>ツカ</t>
    </rPh>
    <rPh sb="19" eb="20">
      <t>ワ</t>
    </rPh>
    <rPh sb="22" eb="24">
      <t>カノウ</t>
    </rPh>
    <phoneticPr fontId="22"/>
  </si>
  <si>
    <r>
      <t xml:space="preserve">3.3.2 </t>
    </r>
    <r>
      <rPr>
        <b/>
        <sz val="10"/>
        <rFont val="ＭＳ Ｐゴシック"/>
        <family val="3"/>
        <charset val="128"/>
      </rPr>
      <t>照度均斉度</t>
    </r>
    <rPh sb="6" eb="8">
      <t>ショウド</t>
    </rPh>
    <rPh sb="8" eb="10">
      <t>キンセイ</t>
    </rPh>
    <rPh sb="10" eb="11">
      <t>ド</t>
    </rPh>
    <phoneticPr fontId="22"/>
  </si>
  <si>
    <t>事・学・病(診)・ホ・工・住</t>
    <rPh sb="2" eb="3">
      <t>ガク</t>
    </rPh>
    <rPh sb="6" eb="7">
      <t>ミ</t>
    </rPh>
    <phoneticPr fontId="22"/>
  </si>
  <si>
    <t>全般照明方式の場合で室内に許容できる程度の暗い部分がある。タスク・アンビエント照明方式の場合で作業面の明るさと周りの明るさのバランスが不十分。</t>
    <rPh sb="41" eb="43">
      <t>ホウシキ</t>
    </rPh>
    <phoneticPr fontId="22"/>
  </si>
  <si>
    <t>全般照明方式の場合で室内に暗い部分がない。タスク・アンビエント照明方式の場合で作業面の明るさと周りの明るさのバランスが良い。</t>
    <rPh sb="33" eb="35">
      <t>ホウシキ</t>
    </rPh>
    <phoneticPr fontId="22"/>
  </si>
  <si>
    <t>明るさや学習形態に応じた制御区画ではない。</t>
  </si>
  <si>
    <t>照明制御ができない。</t>
  </si>
  <si>
    <t>複数ベッド単位の大まかな照明制御ができる。</t>
  </si>
  <si>
    <t>室内で大まかな照明制御ができる。</t>
  </si>
  <si>
    <t>ベッド単位の細かな照明制御ができる。</t>
  </si>
  <si>
    <t>室内の複数部分に対して細かい照明制御ができる、または、自動照明制御ができる。</t>
    <rPh sb="27" eb="29">
      <t>ジドウ</t>
    </rPh>
    <rPh sb="29" eb="31">
      <t>ショウメイ</t>
    </rPh>
    <rPh sb="31" eb="33">
      <t>セイギョ</t>
    </rPh>
    <phoneticPr fontId="22"/>
  </si>
  <si>
    <t>４作業単位で照明制御できる、または、照明制御盤・器具等で調整できる。</t>
    <rPh sb="6" eb="8">
      <t>ショウメイ</t>
    </rPh>
    <phoneticPr fontId="22"/>
  </si>
  <si>
    <t>21年以上～30年未満</t>
  </si>
  <si>
    <t>30年以上</t>
  </si>
  <si>
    <r>
      <t xml:space="preserve">2.2.4 </t>
    </r>
    <r>
      <rPr>
        <b/>
        <sz val="10"/>
        <rFont val="ＭＳ Ｐゴシック"/>
        <family val="3"/>
        <charset val="128"/>
      </rPr>
      <t>空調換気ダクトの更新必要間隔</t>
    </r>
    <rPh sb="6" eb="8">
      <t>クウチョウ</t>
    </rPh>
    <rPh sb="8" eb="10">
      <t>カンキ</t>
    </rPh>
    <phoneticPr fontId="22"/>
  </si>
  <si>
    <t>5年以上～10年未満</t>
  </si>
  <si>
    <t>10年以上～15年未満</t>
  </si>
  <si>
    <t>10年</t>
  </si>
  <si>
    <t>15年</t>
  </si>
  <si>
    <t>ほぼ全てに亜鉛鉄板を使用</t>
    <rPh sb="2" eb="3">
      <t>スベ</t>
    </rPh>
    <rPh sb="5" eb="7">
      <t>アエン</t>
    </rPh>
    <rPh sb="7" eb="9">
      <t>テッパン</t>
    </rPh>
    <rPh sb="10" eb="12">
      <t>シヨウ</t>
    </rPh>
    <phoneticPr fontId="22"/>
  </si>
  <si>
    <t>日影規制を満たしている、または当該敷地に日影規制が無い場合。</t>
    <phoneticPr fontId="22"/>
  </si>
  <si>
    <r>
      <t>日影規制に対して１ランク上</t>
    </r>
    <r>
      <rPr>
        <vertAlign val="superscript"/>
        <sz val="9"/>
        <rFont val="ＭＳ Ｐゴシック"/>
        <family val="3"/>
        <charset val="128"/>
      </rPr>
      <t>*</t>
    </r>
    <r>
      <rPr>
        <sz val="9"/>
        <rFont val="ＭＳ Ｐゴシック"/>
        <family val="3"/>
        <charset val="128"/>
      </rPr>
      <t>の基準を満たしている</t>
    </r>
    <phoneticPr fontId="22"/>
  </si>
  <si>
    <t>*日照阻害の抑制において、1ランク上とは、例えば近隣商業地域で日影規制が5時間/3時間（5m、10m）の場合、それより1つ厳しい基準が準住居地域で、4時間/2.5時間とすると、準住居地域の日影規制を満たしている場合である。</t>
    <phoneticPr fontId="22"/>
  </si>
  <si>
    <r>
      <t>3.3.1</t>
    </r>
    <r>
      <rPr>
        <b/>
        <sz val="10"/>
        <rFont val="ＭＳ Ｐゴシック"/>
        <family val="3"/>
        <charset val="128"/>
      </rPr>
      <t>　屋外照明及び屋内照明のうち外に漏れる光への対策</t>
    </r>
    <phoneticPr fontId="22"/>
  </si>
  <si>
    <t>3.3.2</t>
    <phoneticPr fontId="22"/>
  </si>
  <si>
    <t>昼光の建物外壁による反射光（グレア）への対策</t>
    <phoneticPr fontId="35" type="noConversion"/>
  </si>
  <si>
    <t>d. LCCO2算定条件</t>
    <rPh sb="8" eb="10">
      <t>サンテイ</t>
    </rPh>
    <rPh sb="10" eb="12">
      <t>ジョウケン</t>
    </rPh>
    <phoneticPr fontId="22"/>
  </si>
  <si>
    <t>各建築物に適用されている法律、規則、基準などに則り、ねずみ等の点検・防除を定期的に実施している。
※法律、規則、基準などがない建築物の場合は年1回のねずみ等の点検・防除を実施している。</t>
    <phoneticPr fontId="22"/>
  </si>
  <si>
    <t>建築物環境衛生管理基準レベルのねずみ等の点検・防除を実施し、記録を保管している。</t>
    <phoneticPr fontId="22"/>
  </si>
  <si>
    <t>給水・給湯管理（飲用・炊事用・浴用等）は何も実施していない。</t>
    <phoneticPr fontId="22"/>
  </si>
  <si>
    <t>「水道法」に基づき、受水槽の清掃や水質の外部検査を年1回実施し、改善している。
※直結式給水で受水槽がない場合は取組み「0点」として評価する。</t>
    <phoneticPr fontId="22"/>
  </si>
  <si>
    <t>建築物環境衛生管理基準レベルの給水・給湯管理（飲用・炊事用・浴用等）を実施し、記録を保管している。</t>
    <phoneticPr fontId="22"/>
  </si>
  <si>
    <t>地熱利用：熱源や空調設備に代わり、冷暖房負荷低減に有効な地熱利用システムが計画されている事。（例）クール＆ヒートチューブ・ピットなど</t>
    <rPh sb="0" eb="2">
      <t>チネツ</t>
    </rPh>
    <rPh sb="2" eb="4">
      <t>リヨウ</t>
    </rPh>
    <rPh sb="5" eb="7">
      <t>ネツゲン</t>
    </rPh>
    <rPh sb="8" eb="10">
      <t>クウチョウ</t>
    </rPh>
    <rPh sb="10" eb="12">
      <t>セツビ</t>
    </rPh>
    <rPh sb="13" eb="14">
      <t>カ</t>
    </rPh>
    <rPh sb="17" eb="20">
      <t>レイダンボウ</t>
    </rPh>
    <rPh sb="20" eb="22">
      <t>フカ</t>
    </rPh>
    <rPh sb="22" eb="24">
      <t>テイゲン</t>
    </rPh>
    <rPh sb="25" eb="27">
      <t>ユウコウ</t>
    </rPh>
    <rPh sb="28" eb="30">
      <t>チネツ</t>
    </rPh>
    <rPh sb="30" eb="32">
      <t>リヨウ</t>
    </rPh>
    <rPh sb="37" eb="39">
      <t>ケイカク</t>
    </rPh>
    <rPh sb="44" eb="45">
      <t>コト</t>
    </rPh>
    <rPh sb="47" eb="48">
      <t>レイ</t>
    </rPh>
    <phoneticPr fontId="22"/>
  </si>
  <si>
    <t>その他：その他、自然を活用した有効なシステムが計画されていること。</t>
    <rPh sb="2" eb="3">
      <t>タ</t>
    </rPh>
    <phoneticPr fontId="22"/>
  </si>
  <si>
    <t>ON</t>
  </si>
  <si>
    <t>-</t>
    <phoneticPr fontId="22"/>
  </si>
  <si>
    <r>
      <t xml:space="preserve">2.1.2 </t>
    </r>
    <r>
      <rPr>
        <b/>
        <sz val="10"/>
        <rFont val="ＭＳ Ｐゴシック"/>
        <family val="3"/>
        <charset val="128"/>
      </rPr>
      <t>外皮性能</t>
    </r>
    <rPh sb="6" eb="8">
      <t>ガイヒ</t>
    </rPh>
    <rPh sb="8" eb="10">
      <t>セイノウ</t>
    </rPh>
    <phoneticPr fontId="22"/>
  </si>
  <si>
    <t>負荷変動・追従制御性</t>
    <phoneticPr fontId="22"/>
  </si>
  <si>
    <t>窓システム、外壁、屋根や床（特にピロティ）において、室内への熱の侵入に対しての配慮がなされており、実用上、日射遮蔽性能および断熱性能に問題がない。
（窓システムSC：0.5程度、U=4.0(W/m2K) 程度、外壁・その他：U=2.0(W/m2K) 程度）</t>
    <phoneticPr fontId="22"/>
  </si>
  <si>
    <t>窓システム、外壁、屋根や床（特にピロティ）において、室内への熱の侵入に対しての配慮がなされており、実用上、日射遮蔽性能および断熱性能に問題がない。（窓システムSC：0.5程度、U=4.0(W/m2K)程度、外壁その他：U=2.0(W/m2K)程度）</t>
    <phoneticPr fontId="22"/>
  </si>
  <si>
    <t>窓システム、外壁、屋根や床（特にピロティ）において、室内への熱の侵入に対して、十分な配慮がなされており、最良の日射遮蔽性能および断熱性能を有する。（窓システムSC：0.2程度、U=3.0(W/m2K)程度、外壁その他：U=1.0(W/m2K)程度）</t>
    <phoneticPr fontId="22"/>
  </si>
  <si>
    <r>
      <t xml:space="preserve">2.1.3 </t>
    </r>
    <r>
      <rPr>
        <b/>
        <sz val="10"/>
        <rFont val="ＭＳ Ｐゴシック"/>
        <family val="3"/>
        <charset val="128"/>
      </rPr>
      <t>ゾーン別制御性</t>
    </r>
    <rPh sb="9" eb="10">
      <t>ベツ</t>
    </rPh>
    <rPh sb="10" eb="13">
      <t>セイギョセイ</t>
    </rPh>
    <phoneticPr fontId="22"/>
  </si>
  <si>
    <r>
      <t xml:space="preserve">3.2.1 </t>
    </r>
    <r>
      <rPr>
        <b/>
        <sz val="10"/>
        <rFont val="ＭＳ Ｐゴシック"/>
        <family val="3"/>
        <charset val="128"/>
      </rPr>
      <t>昼光制御</t>
    </r>
    <rPh sb="6" eb="7">
      <t>ヒル</t>
    </rPh>
    <rPh sb="7" eb="8">
      <t>ヒカリ</t>
    </rPh>
    <rPh sb="8" eb="10">
      <t>セイギョ</t>
    </rPh>
    <phoneticPr fontId="22"/>
  </si>
  <si>
    <r>
      <t>3.2.2</t>
    </r>
    <r>
      <rPr>
        <b/>
        <sz val="10"/>
        <rFont val="ＭＳ Ｐゴシック"/>
        <family val="3"/>
        <charset val="128"/>
      </rPr>
      <t>　映り込み対策</t>
    </r>
    <rPh sb="6" eb="7">
      <t>ウツ</t>
    </rPh>
    <rPh sb="8" eb="9">
      <t>コ</t>
    </rPh>
    <rPh sb="10" eb="12">
      <t>タイサク</t>
    </rPh>
    <phoneticPr fontId="22"/>
  </si>
  <si>
    <t>住宅の品質確保の促進に関する法律（日本住宅性能表示基準、3.劣化の軽減に関する事）における木材、鉄骨又はコンクリートの評価方法基準（平成26年国土交通省告示第151号）で等級1相当</t>
    <rPh sb="17" eb="19">
      <t>ニホン</t>
    </rPh>
    <rPh sb="25" eb="27">
      <t>キジュン</t>
    </rPh>
    <rPh sb="45" eb="47">
      <t>モクザイ</t>
    </rPh>
    <rPh sb="61" eb="63">
      <t>ホウホウ</t>
    </rPh>
    <rPh sb="63" eb="65">
      <t>キジュン</t>
    </rPh>
    <rPh sb="88" eb="90">
      <t>ソウトウ</t>
    </rPh>
    <phoneticPr fontId="22"/>
  </si>
  <si>
    <t>住宅の品質確保の促進に関する法律（日本住宅性能表示基準、3.劣化の軽減に関する事）における木材、鉄骨又はコンクリートの評価方法基準（平成26年国土交通省告示第151号）で等級2相当</t>
    <rPh sb="88" eb="90">
      <t>ソウトウ</t>
    </rPh>
    <phoneticPr fontId="22"/>
  </si>
  <si>
    <t>住宅の品質確保の促進に関する法律（日本住宅性能表示基準、3.劣化の軽減に関する事）における木材、鉄骨又はコンクリートの評価方法基準（平成26年国土交通省告示第151号）で等級3相当</t>
    <rPh sb="88" eb="90">
      <t>ソウトウ</t>
    </rPh>
    <phoneticPr fontId="22"/>
  </si>
  <si>
    <t>レベル３に加えて年間エネルギー消費量の計算に基づく、建物全体のエネルギー消費量の目標値が計画され、建築主に提出されている。</t>
    <phoneticPr fontId="22"/>
  </si>
  <si>
    <t>レベル４に加えて、運用時の定期的な設備性能検証、不具合是正等の具体的な実施方策が計画されている。（コミッショニング）</t>
    <phoneticPr fontId="22"/>
  </si>
  <si>
    <t>土壌改良材</t>
  </si>
  <si>
    <t>採点シートの
採点結果</t>
    <rPh sb="0" eb="2">
      <t>サイテン</t>
    </rPh>
    <rPh sb="7" eb="9">
      <t>サイテン</t>
    </rPh>
    <rPh sb="9" eb="11">
      <t>ケッカ</t>
    </rPh>
    <phoneticPr fontId="22"/>
  </si>
  <si>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22"/>
  </si>
  <si>
    <t>Ａａ0</t>
    <phoneticPr fontId="22"/>
  </si>
  <si>
    <t>Ａｂ0</t>
    <phoneticPr fontId="22"/>
  </si>
  <si>
    <t>Ｂａ0</t>
    <phoneticPr fontId="22"/>
  </si>
  <si>
    <t>Ｂｂ0</t>
    <phoneticPr fontId="22"/>
  </si>
  <si>
    <t>Ｃａ0</t>
    <phoneticPr fontId="22"/>
  </si>
  <si>
    <t>Ｃｂ0</t>
    <phoneticPr fontId="22"/>
  </si>
  <si>
    <t>Ｃｂ1</t>
    <phoneticPr fontId="22"/>
  </si>
  <si>
    <t>集合住宅以外の評価(3a.3b)</t>
    <rPh sb="0" eb="2">
      <t>シュウゴウ</t>
    </rPh>
    <rPh sb="2" eb="4">
      <t>ジュウタク</t>
    </rPh>
    <rPh sb="4" eb="6">
      <t>イガイ</t>
    </rPh>
    <rPh sb="7" eb="9">
      <t>ヒョウカ</t>
    </rPh>
    <phoneticPr fontId="22"/>
  </si>
  <si>
    <t>集合住宅の評価(3c)</t>
    <rPh sb="0" eb="2">
      <t>シュウゴウ</t>
    </rPh>
    <rPh sb="2" eb="4">
      <t>ジュウタク</t>
    </rPh>
    <rPh sb="5" eb="7">
      <t>ヒョウカ</t>
    </rPh>
    <phoneticPr fontId="22"/>
  </si>
  <si>
    <t>算定プログラムによる評価</t>
    <rPh sb="0" eb="2">
      <t>サンテイ</t>
    </rPh>
    <rPh sb="10" eb="12">
      <t>ヒョウカ</t>
    </rPh>
    <phoneticPr fontId="22"/>
  </si>
  <si>
    <t>Ａ：単位住戸全体を暖房する方式</t>
  </si>
  <si>
    <t>Ｂ：居室のみを暖房する方式（連続運転）</t>
  </si>
  <si>
    <t>Ｃ：居室のみを暖房する方式（間歇運転）</t>
  </si>
  <si>
    <t>－：上記以外（不明な場合を含む）</t>
    <rPh sb="2" eb="4">
      <t>ジョウキ</t>
    </rPh>
    <rPh sb="4" eb="6">
      <t>イガイ</t>
    </rPh>
    <rPh sb="7" eb="9">
      <t>フメイ</t>
    </rPh>
    <rPh sb="10" eb="12">
      <t>バアイ</t>
    </rPh>
    <rPh sb="13" eb="14">
      <t>フク</t>
    </rPh>
    <phoneticPr fontId="4"/>
  </si>
  <si>
    <t>ａ ：単位住戸全体を冷房する方式</t>
  </si>
  <si>
    <t>ｂ ：居室のみを冷房する方式（間歇運転）</t>
  </si>
  <si>
    <t>採点レベル</t>
    <rPh sb="0" eb="2">
      <t>サイテン</t>
    </rPh>
    <phoneticPr fontId="22"/>
  </si>
  <si>
    <t>「－」の場合</t>
    <phoneticPr fontId="22"/>
  </si>
  <si>
    <t>算定プログラムを使わない場合の評価</t>
    <rPh sb="0" eb="2">
      <t>サンテイ</t>
    </rPh>
    <rPh sb="8" eb="9">
      <t>ツカ</t>
    </rPh>
    <rPh sb="12" eb="14">
      <t>バアイ</t>
    </rPh>
    <rPh sb="15" eb="17">
      <t>ヒョウカ</t>
    </rPh>
    <phoneticPr fontId="22"/>
  </si>
  <si>
    <t>3a.3b</t>
    <phoneticPr fontId="22"/>
  </si>
  <si>
    <t>3b.c</t>
    <phoneticPr fontId="22"/>
  </si>
  <si>
    <t>㎡</t>
    <phoneticPr fontId="22"/>
  </si>
  <si>
    <t>LR1/2. 自然ｴﾈﾙｷﾞｰ利用</t>
    <rPh sb="7" eb="9">
      <t>シゼン</t>
    </rPh>
    <rPh sb="15" eb="17">
      <t>リヨウ</t>
    </rPh>
    <phoneticPr fontId="22"/>
  </si>
  <si>
    <t>図を貼り付けるときは</t>
    <rPh sb="0" eb="1">
      <t>ズ</t>
    </rPh>
    <rPh sb="2" eb="3">
      <t>ハ</t>
    </rPh>
    <rPh sb="4" eb="5">
      <t>ツ</t>
    </rPh>
    <phoneticPr fontId="22"/>
  </si>
  <si>
    <t>シートの保護を解除してください</t>
    <phoneticPr fontId="22"/>
  </si>
  <si>
    <t xml:space="preserve">評価する取組みのうち、何れの手法も採用していない。または、何れかの手法が採用されているが、有効性は検討されていない。
 </t>
    <rPh sb="11" eb="12">
      <t>イズ</t>
    </rPh>
    <rPh sb="14" eb="16">
      <t>シュホウ</t>
    </rPh>
    <rPh sb="17" eb="19">
      <t>サイヨウ</t>
    </rPh>
    <phoneticPr fontId="22"/>
  </si>
  <si>
    <t>評価する取組みのうち、何れかの手法が有効性を検討した上で採用されている。（但し、モニュメントの計画を除く。）</t>
    <phoneticPr fontId="22"/>
  </si>
  <si>
    <t>対象外</t>
    <rPh sb="0" eb="3">
      <t>タイショウガイ</t>
    </rPh>
    <phoneticPr fontId="22"/>
  </si>
  <si>
    <t>用途別スコア入力</t>
    <rPh sb="0" eb="2">
      <t>ﾖｳﾄ</t>
    </rPh>
    <rPh sb="2" eb="3">
      <t>ﾍﾞﾂ</t>
    </rPh>
    <rPh sb="6" eb="8">
      <t>ﾆｭｳﾘｮｸ</t>
    </rPh>
    <phoneticPr fontId="35" type="noConversion"/>
  </si>
  <si>
    <t>事務所</t>
    <rPh sb="0" eb="2">
      <t>ｼﾞﾑ</t>
    </rPh>
    <rPh sb="2" eb="3">
      <t>ｼｮ</t>
    </rPh>
    <phoneticPr fontId="167" type="noConversion"/>
  </si>
  <si>
    <t>学校</t>
    <rPh sb="0" eb="2">
      <t>ｶﾞｯｺｳ</t>
    </rPh>
    <phoneticPr fontId="167" type="noConversion"/>
  </si>
  <si>
    <t>物販店</t>
    <rPh sb="0" eb="1">
      <t>ﾌﾞﾂ</t>
    </rPh>
    <rPh sb="1" eb="2">
      <t>ﾊﾝ</t>
    </rPh>
    <rPh sb="2" eb="3">
      <t>ﾃﾝ</t>
    </rPh>
    <phoneticPr fontId="167" type="noConversion"/>
  </si>
  <si>
    <t>飲食店</t>
    <rPh sb="0" eb="2">
      <t>ｲﾝｼｮｸ</t>
    </rPh>
    <rPh sb="2" eb="3">
      <t>ﾐｾ</t>
    </rPh>
    <phoneticPr fontId="167" type="noConversion"/>
  </si>
  <si>
    <t>集会所</t>
    <rPh sb="0" eb="3">
      <t>ｼｭｳｶｲｼﾞｮ</t>
    </rPh>
    <phoneticPr fontId="167" type="noConversion"/>
  </si>
  <si>
    <t>工場</t>
    <rPh sb="0" eb="2">
      <t>ｺｳｼﾞｮｳ</t>
    </rPh>
    <phoneticPr fontId="167" type="noConversion"/>
  </si>
  <si>
    <t>病院</t>
    <rPh sb="0" eb="2">
      <t>ﾋﾞｮｳｲﾝ</t>
    </rPh>
    <phoneticPr fontId="167" type="noConversion"/>
  </si>
  <si>
    <t>集合住宅</t>
    <rPh sb="0" eb="2">
      <t>ｼｭｳｺﾞｳ</t>
    </rPh>
    <rPh sb="2" eb="4">
      <t>ｼﾞｭｳﾀｸ</t>
    </rPh>
    <phoneticPr fontId="167" type="noConversion"/>
  </si>
  <si>
    <t>面積加重</t>
    <rPh sb="0" eb="2">
      <t>メンセキ</t>
    </rPh>
    <rPh sb="2" eb="4">
      <t>カジュウ</t>
    </rPh>
    <phoneticPr fontId="22"/>
  </si>
  <si>
    <t>評価点</t>
    <rPh sb="0" eb="2">
      <t>ヒョウカ</t>
    </rPh>
    <rPh sb="2" eb="3">
      <t>テン</t>
    </rPh>
    <phoneticPr fontId="22"/>
  </si>
  <si>
    <t>学校
(小中高)</t>
    <rPh sb="0" eb="2">
      <t>ガッコウ</t>
    </rPh>
    <phoneticPr fontId="22"/>
  </si>
  <si>
    <t>設計仕様に基づく評価</t>
    <phoneticPr fontId="22"/>
  </si>
  <si>
    <t>（１）　設計仕様に基づく評価の補正</t>
    <phoneticPr fontId="22"/>
  </si>
  <si>
    <t>（２）　実測結果に基づく評価</t>
    <phoneticPr fontId="22"/>
  </si>
  <si>
    <t>評　価　ソ　フ　ト</t>
    <rPh sb="0" eb="1">
      <t>ヒョウ</t>
    </rPh>
    <rPh sb="2" eb="3">
      <t>アタイ</t>
    </rPh>
    <phoneticPr fontId="22"/>
  </si>
  <si>
    <t>Ⅰ 建築物衛生法における特定建築物の場合に評価する取組み</t>
    <rPh sb="2" eb="5">
      <t>ケンチクブツ</t>
    </rPh>
    <rPh sb="5" eb="8">
      <t>エイセイホウ</t>
    </rPh>
    <rPh sb="12" eb="14">
      <t>トクテイ</t>
    </rPh>
    <rPh sb="14" eb="17">
      <t>ケンチクブツ</t>
    </rPh>
    <rPh sb="18" eb="20">
      <t>バアイ</t>
    </rPh>
    <rPh sb="21" eb="23">
      <t>ヒョウカ</t>
    </rPh>
    <rPh sb="25" eb="27">
      <t>トリク</t>
    </rPh>
    <phoneticPr fontId="22"/>
  </si>
  <si>
    <t>評価内容</t>
    <phoneticPr fontId="22"/>
  </si>
  <si>
    <t>1) 業務仕様</t>
    <phoneticPr fontId="22"/>
  </si>
  <si>
    <t>清掃管理および設備管理仕様書の基本方針において環境配慮を明示している。</t>
  </si>
  <si>
    <r>
      <t>2)</t>
    </r>
    <r>
      <rPr>
        <sz val="9"/>
        <rFont val="ＭＳ Ｐゴシック"/>
        <family val="3"/>
        <charset val="128"/>
      </rPr>
      <t xml:space="preserve"> 契約形態</t>
    </r>
    <phoneticPr fontId="22"/>
  </si>
  <si>
    <t>安定した品質を維持するために業務契約期間を2年以上としている。</t>
  </si>
  <si>
    <r>
      <t>3)</t>
    </r>
    <r>
      <rPr>
        <sz val="9"/>
        <rFont val="ＭＳ Ｐゴシック"/>
        <family val="3"/>
        <charset val="128"/>
      </rPr>
      <t xml:space="preserve"> 業務手順</t>
    </r>
    <phoneticPr fontId="22"/>
  </si>
  <si>
    <t>清掃管理と設備管理における業務標準手順書を用意している。</t>
  </si>
  <si>
    <t>4) インスペクション</t>
    <phoneticPr fontId="22"/>
  </si>
  <si>
    <t>清掃および設備の維持管理状態のインスペクション記録がある。</t>
  </si>
  <si>
    <r>
      <t>5)</t>
    </r>
    <r>
      <rPr>
        <sz val="9"/>
        <rFont val="ＭＳ Ｐゴシック"/>
        <family val="3"/>
        <charset val="128"/>
      </rPr>
      <t xml:space="preserve"> 計画</t>
    </r>
    <phoneticPr fontId="22"/>
  </si>
  <si>
    <t>外気に接するガラス･照明の清掃を含めた計画書がある。</t>
  </si>
  <si>
    <r>
      <t>6)</t>
    </r>
    <r>
      <rPr>
        <sz val="9"/>
        <rFont val="ＭＳ Ｐゴシック"/>
        <family val="3"/>
        <charset val="128"/>
      </rPr>
      <t xml:space="preserve"> 業務員への教育</t>
    </r>
    <phoneticPr fontId="22"/>
  </si>
  <si>
    <t>年1回以上の環境等をテーマにしたトレーニングの計画と記録がある。</t>
  </si>
  <si>
    <t>7) EMS</t>
    <phoneticPr fontId="22"/>
  </si>
  <si>
    <t>管理者が外部評価による環境マネジメントシステム(EMS)の認証を得ている。</t>
  </si>
  <si>
    <t>合計＝</t>
    <phoneticPr fontId="22"/>
  </si>
  <si>
    <t>Ⅱ 建築物衛生法における特定建築物に該当しない建築物の場合に評価する取組み</t>
    <phoneticPr fontId="22"/>
  </si>
  <si>
    <r>
      <t>1)</t>
    </r>
    <r>
      <rPr>
        <sz val="9"/>
        <rFont val="ＭＳ Ｐゴシック"/>
        <family val="3"/>
        <charset val="128"/>
      </rPr>
      <t xml:space="preserve"> 頻度</t>
    </r>
    <phoneticPr fontId="22"/>
  </si>
  <si>
    <t>施設清掃や設備点検･清掃の箇所別頻度の設定がなされている。</t>
  </si>
  <si>
    <r>
      <t>2)</t>
    </r>
    <r>
      <rPr>
        <sz val="9"/>
        <rFont val="ＭＳ Ｐゴシック"/>
        <family val="3"/>
        <charset val="128"/>
      </rPr>
      <t xml:space="preserve"> 役割</t>
    </r>
    <phoneticPr fontId="22"/>
  </si>
  <si>
    <t>施設清掃と設備点検･清掃における各責任者･委託先が決められている。</t>
  </si>
  <si>
    <r>
      <t>3)</t>
    </r>
    <r>
      <rPr>
        <sz val="9"/>
        <rFont val="ＭＳ Ｐゴシック"/>
        <family val="3"/>
        <charset val="128"/>
      </rPr>
      <t xml:space="preserve"> 手順</t>
    </r>
    <phoneticPr fontId="22"/>
  </si>
  <si>
    <t>施設清掃と設備点検･清掃における作業手順書やマニュアルを用意している。</t>
  </si>
  <si>
    <r>
      <t>4)</t>
    </r>
    <r>
      <rPr>
        <sz val="9"/>
        <rFont val="ＭＳ Ｐゴシック"/>
        <family val="3"/>
        <charset val="128"/>
      </rPr>
      <t xml:space="preserve"> 点検</t>
    </r>
    <phoneticPr fontId="22"/>
  </si>
  <si>
    <t>施設清掃と設備点検･清掃の点検記録がある。</t>
  </si>
  <si>
    <r>
      <t>5)</t>
    </r>
    <r>
      <rPr>
        <sz val="9"/>
        <rFont val="ＭＳ Ｐゴシック"/>
        <family val="3"/>
        <charset val="128"/>
      </rPr>
      <t xml:space="preserve"> 実施</t>
    </r>
    <phoneticPr fontId="22"/>
  </si>
  <si>
    <t>施設清掃や設備点検･清掃の実施記録がある。</t>
  </si>
  <si>
    <r>
      <t>6)</t>
    </r>
    <r>
      <rPr>
        <sz val="9"/>
        <rFont val="ＭＳ Ｐゴシック"/>
        <family val="3"/>
        <charset val="128"/>
      </rPr>
      <t xml:space="preserve"> 共有</t>
    </r>
    <phoneticPr fontId="22"/>
  </si>
  <si>
    <t>施設清掃と設備点検･清掃の点検結果を共有する機会を設けている。</t>
  </si>
  <si>
    <t>Ⅱ 建築物衛生法における特定建築物に該当しない建築物の場合に評価する取組み</t>
  </si>
  <si>
    <t>評価内容</t>
    <phoneticPr fontId="22"/>
  </si>
  <si>
    <t>充分な長さのエントランスマットを設置している。(外部、内部含む5ｍ以上)</t>
    <phoneticPr fontId="22"/>
  </si>
  <si>
    <t>ある程度の長さのエントランスマットを設置している。</t>
    <phoneticPr fontId="22"/>
  </si>
  <si>
    <t>① 清掃業務において効果的な方法を採用している。</t>
    <phoneticPr fontId="22"/>
  </si>
  <si>
    <t>-</t>
    <phoneticPr fontId="22"/>
  </si>
  <si>
    <t>② 清掃業務において環境影響の少ない方法を採用している。</t>
    <phoneticPr fontId="22"/>
  </si>
  <si>
    <t>① トイレ、共用部、厨房、玄関マットは毎日、清掃を実施する事としている。</t>
    <phoneticPr fontId="22"/>
  </si>
  <si>
    <t>② 希釈をする洗浄剤の希釈方法を明記している。</t>
    <phoneticPr fontId="22"/>
  </si>
  <si>
    <r>
      <t>①</t>
    </r>
    <r>
      <rPr>
        <sz val="9"/>
        <rFont val="ＭＳ Ｐゴシック"/>
        <family val="3"/>
        <charset val="128"/>
      </rPr>
      <t xml:space="preserve"> 環境ラベル取得製品の採用。(エコマーク、グリーンマークなど)</t>
    </r>
    <phoneticPr fontId="22"/>
  </si>
  <si>
    <t>① 環境ラベル取得製品を採用している。（エコマーク、グリーンマークなど）</t>
    <phoneticPr fontId="22"/>
  </si>
  <si>
    <t>② 清掃用ケミカルのⅰ 床用保護剤、ⅱ 床用洗浄剤(カーペット含む)、ⅲ トイレ用洗浄剤、ⅳ ガラス用洗浄剤の4製品に関して、環境負荷と安全に配慮した製品を採用している。(判定表を参照)</t>
    <phoneticPr fontId="22"/>
  </si>
  <si>
    <t>② 清掃資材専用の保管スペースがある。</t>
    <phoneticPr fontId="22"/>
  </si>
  <si>
    <t>③ トイレ、共用部、厨房などの清掃に使用するケミカルの2種類以上についてMSDS（化学物質安全データシート）を保管している。</t>
    <phoneticPr fontId="22"/>
  </si>
  <si>
    <t>① トイレ清掃では除菌剤配合洗剤を使用している。</t>
    <phoneticPr fontId="22"/>
  </si>
  <si>
    <t>② 感染防止を考慮した嘔吐物の処理方法がある。</t>
    <phoneticPr fontId="22"/>
  </si>
  <si>
    <t>手袋、メガネ、マスクなどの保護具の着用を促している。</t>
    <phoneticPr fontId="22"/>
  </si>
  <si>
    <t>合計＝</t>
    <phoneticPr fontId="22"/>
  </si>
  <si>
    <t>水素イオン濃度（pH）</t>
  </si>
  <si>
    <t>原液＝pH5～pH9である事。</t>
  </si>
  <si>
    <t>ⅰ 床用保護剤</t>
  </si>
  <si>
    <t>厚生労働省策定の「室内濃度に関する指針値」対象物質である揮発性有機化合物(VOC)を原料に含まない事。原料に含まれる場合は、JIS K 3920（フロアーポリッシュ試験方法）-24（皮膜からの放散成分分析）を実施し、その分析値が室内濃度指針値以下である事。</t>
  </si>
  <si>
    <t>ⅱ 床用洗浄剤
ⅲ トイレ用洗浄剤
ⅳ ガラス用洗浄剤</t>
    <phoneticPr fontId="22"/>
  </si>
  <si>
    <t>厚生労働省策定の「室内濃度に関する指針値」対象物質である揮発性有機化合物(VOC)を原料に含まない事。</t>
  </si>
  <si>
    <t>LD50：＞2,000mg/kgである事。</t>
  </si>
  <si>
    <t>製品が定める最も高濃度希釈時のVOC含有率が洗浄剤＜1%　床用保護剤＜7%である事。（沸点260℃未満のVOC対象）</t>
  </si>
  <si>
    <t>特定化学物質の環境への排出量の把握等及び管理の改善の促進に関する法律（ＰＲＴＲ法）の「第一種指定化学物質」と「第二種指定化学物質」が指定割合以下である事。</t>
  </si>
  <si>
    <t>(該当するレベルなし)</t>
    <phoneticPr fontId="22"/>
  </si>
  <si>
    <t>延床面積500㎡以下の建築物は
レベル3とする。
注）500㎡以下の建物は直接入力により、レベル3を選択してください。</t>
    <phoneticPr fontId="22"/>
  </si>
  <si>
    <t>3つの設備管理業務の取り組みポイントで-１(ﾚﾍﾞﾙ2)の取り組みがひとつでもある場合</t>
    <phoneticPr fontId="22"/>
  </si>
  <si>
    <r>
      <t>建築物環境衛生管理基準を満たし、</t>
    </r>
    <r>
      <rPr>
        <sz val="9"/>
        <rFont val="ＭＳ Ｐゴシック"/>
        <family val="3"/>
        <charset val="128"/>
      </rPr>
      <t>6ヶ月に1回の点検および防除を行っている。</t>
    </r>
    <rPh sb="18" eb="19">
      <t>ゲツ</t>
    </rPh>
    <rPh sb="21" eb="22">
      <t>カイ</t>
    </rPh>
    <rPh sb="23" eb="25">
      <t>テンケン</t>
    </rPh>
    <rPh sb="28" eb="30">
      <t>ボウジョ</t>
    </rPh>
    <rPh sb="31" eb="32">
      <t>オコナ</t>
    </rPh>
    <phoneticPr fontId="22"/>
  </si>
  <si>
    <t>主要機器は耐用年数以内である。</t>
    <phoneticPr fontId="22"/>
  </si>
  <si>
    <t>主要機器は耐用年数以内である。</t>
    <phoneticPr fontId="22"/>
  </si>
  <si>
    <t>全て耐用年数以内である。</t>
    <phoneticPr fontId="22"/>
  </si>
  <si>
    <r>
      <t>3.2</t>
    </r>
    <r>
      <rPr>
        <b/>
        <sz val="12"/>
        <rFont val="ＭＳ Ｐゴシック"/>
        <family val="3"/>
        <charset val="128"/>
      </rPr>
      <t>　実績値を用いた総合評価</t>
    </r>
    <phoneticPr fontId="22"/>
  </si>
  <si>
    <t>[3.1a、3.1bによる設備システムの高効率化のスコア]が2.0点未満</t>
  </si>
  <si>
    <t>[3,1a、3.1bによる設備システムの高効率化のスコア]が2.0点以上</t>
  </si>
  <si>
    <t>スコア-1.0</t>
  </si>
  <si>
    <t>（１）によるスコア</t>
    <phoneticPr fontId="22"/>
  </si>
  <si>
    <t>加点あり</t>
    <rPh sb="0" eb="2">
      <t>カテン</t>
    </rPh>
    <phoneticPr fontId="22"/>
  </si>
  <si>
    <t>上下なし</t>
    <rPh sb="0" eb="2">
      <t>ジョウゲ</t>
    </rPh>
    <phoneticPr fontId="22"/>
  </si>
  <si>
    <t>減点あり</t>
    <rPh sb="0" eb="2">
      <t>ゲンテン</t>
    </rPh>
    <phoneticPr fontId="22"/>
  </si>
  <si>
    <t>1.0以上1.5未満</t>
  </si>
  <si>
    <t>1.5以上2.0未満</t>
  </si>
  <si>
    <t>2.0以上2.5未満</t>
  </si>
  <si>
    <t>2.5以上3.0未満</t>
  </si>
  <si>
    <t>3.0以上3.5未満</t>
  </si>
  <si>
    <t>3.5以上4.0未満</t>
  </si>
  <si>
    <t>レベル４を満たさない</t>
    <phoneticPr fontId="22"/>
  </si>
  <si>
    <t>ODP＝0かつGWPが低い発泡剤（GWP（100年値）が１以下）を用いた断熱材等を使用している。あるいは発泡剤を用いた断熱材等を使用していない。</t>
    <rPh sb="29" eb="31">
      <t>イカ</t>
    </rPh>
    <rPh sb="33" eb="34">
      <t>モチ</t>
    </rPh>
    <rPh sb="36" eb="40">
      <t>ダンネツザイナド</t>
    </rPh>
    <rPh sb="41" eb="43">
      <t>シヨウ</t>
    </rPh>
    <rPh sb="52" eb="54">
      <t>ハッポウ</t>
    </rPh>
    <rPh sb="54" eb="55">
      <t>ザイ</t>
    </rPh>
    <rPh sb="56" eb="57">
      <t>モチ</t>
    </rPh>
    <rPh sb="59" eb="63">
      <t>ダンネツザイトウ</t>
    </rPh>
    <rPh sb="64" eb="66">
      <t>シヨウ</t>
    </rPh>
    <phoneticPr fontId="22"/>
  </si>
  <si>
    <r>
      <t>kg-CO</t>
    </r>
    <r>
      <rPr>
        <vertAlign val="subscript"/>
        <sz val="10"/>
        <rFont val="ＭＳ Ｐゴシック"/>
        <family val="3"/>
        <charset val="128"/>
      </rPr>
      <t>2</t>
    </r>
    <r>
      <rPr>
        <sz val="10"/>
        <rFont val="ＭＳ Ｐゴシック"/>
        <family val="3"/>
        <charset val="128"/>
      </rPr>
      <t>/kg</t>
    </r>
    <phoneticPr fontId="22"/>
  </si>
  <si>
    <r>
      <t>kg-CO</t>
    </r>
    <r>
      <rPr>
        <vertAlign val="subscript"/>
        <sz val="10"/>
        <rFont val="ＭＳ Ｐゴシック"/>
        <family val="3"/>
        <charset val="128"/>
      </rPr>
      <t>2</t>
    </r>
    <r>
      <rPr>
        <sz val="10"/>
        <rFont val="ＭＳ Ｐゴシック"/>
        <family val="3"/>
        <charset val="128"/>
      </rPr>
      <t>/ｔ</t>
    </r>
    <phoneticPr fontId="22"/>
  </si>
  <si>
    <r>
      <t>kg-CO</t>
    </r>
    <r>
      <rPr>
        <vertAlign val="subscript"/>
        <sz val="10"/>
        <rFont val="ＭＳ Ｐゴシック"/>
        <family val="3"/>
        <charset val="128"/>
      </rPr>
      <t>2</t>
    </r>
    <r>
      <rPr>
        <sz val="10"/>
        <rFont val="ＭＳ Ｐゴシック"/>
        <family val="3"/>
        <charset val="128"/>
      </rPr>
      <t>/㎡</t>
    </r>
    <phoneticPr fontId="22"/>
  </si>
  <si>
    <t>〃</t>
    <phoneticPr fontId="22"/>
  </si>
  <si>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2"/>
  </si>
  <si>
    <r>
      <t>kg-CO</t>
    </r>
    <r>
      <rPr>
        <vertAlign val="subscript"/>
        <sz val="10"/>
        <rFont val="ＭＳ Ｐゴシック"/>
        <family val="3"/>
        <charset val="128"/>
      </rPr>
      <t>2</t>
    </r>
    <r>
      <rPr>
        <sz val="10"/>
        <rFont val="ＭＳ Ｐゴシック"/>
        <family val="3"/>
        <charset val="128"/>
      </rPr>
      <t>/kg</t>
    </r>
    <phoneticPr fontId="22"/>
  </si>
  <si>
    <t>備考</t>
    <rPh sb="0" eb="2">
      <t>ビコウ</t>
    </rPh>
    <phoneticPr fontId="22"/>
  </si>
  <si>
    <t>（評価する取組み欄で「対象外」を選択）</t>
    <rPh sb="1" eb="3">
      <t>ヒョウカ</t>
    </rPh>
    <rPh sb="5" eb="7">
      <t>トリクミ</t>
    </rPh>
    <rPh sb="8" eb="9">
      <t>ラン</t>
    </rPh>
    <rPh sb="11" eb="14">
      <t>タイショウガイ</t>
    </rPh>
    <rPh sb="16" eb="18">
      <t>センタク</t>
    </rPh>
    <phoneticPr fontId="22"/>
  </si>
  <si>
    <t>生産エリアのみの工場は対象外とする。</t>
    <rPh sb="0" eb="2">
      <t>セイサン</t>
    </rPh>
    <rPh sb="8" eb="10">
      <t>コウジョウ</t>
    </rPh>
    <rPh sb="11" eb="14">
      <t>タイショウガイ</t>
    </rPh>
    <phoneticPr fontId="22"/>
  </si>
  <si>
    <t>評価対象</t>
    <rPh sb="0" eb="2">
      <t>ヒョウカ</t>
    </rPh>
    <rPh sb="2" eb="4">
      <t>タイショウ</t>
    </rPh>
    <phoneticPr fontId="22"/>
  </si>
  <si>
    <t>LCCO2用床面積</t>
    <rPh sb="5" eb="6">
      <t>ヨウ</t>
    </rPh>
    <rPh sb="6" eb="9">
      <t>ユカメンセキ</t>
    </rPh>
    <phoneticPr fontId="22"/>
  </si>
  <si>
    <t>合計</t>
    <rPh sb="0" eb="2">
      <t>ゴウケイ</t>
    </rPh>
    <phoneticPr fontId="22"/>
  </si>
  <si>
    <t>dB(A)</t>
    <phoneticPr fontId="22"/>
  </si>
  <si>
    <t>-</t>
    <phoneticPr fontId="22"/>
  </si>
  <si>
    <t>地域区分</t>
    <rPh sb="0" eb="2">
      <t>チイキ</t>
    </rPh>
    <phoneticPr fontId="22"/>
  </si>
  <si>
    <t xml:space="preserve"> 事務所、庁舎、郵便局 など</t>
    <rPh sb="1" eb="3">
      <t>ジム</t>
    </rPh>
    <rPh sb="3" eb="4">
      <t>ショ</t>
    </rPh>
    <rPh sb="5" eb="7">
      <t>チョウシャ</t>
    </rPh>
    <rPh sb="8" eb="11">
      <t>ユウビンキョク</t>
    </rPh>
    <phoneticPr fontId="22"/>
  </si>
  <si>
    <t xml:space="preserve"> 公会堂、集会場、図書館、博物館、ボーリング場、体育館、劇場、映画館、展示施設 など</t>
    <rPh sb="1" eb="4">
      <t>コウカイドウ</t>
    </rPh>
    <rPh sb="5" eb="8">
      <t>シュウカイジョウ</t>
    </rPh>
    <rPh sb="22" eb="23">
      <t>ジョウ</t>
    </rPh>
    <rPh sb="24" eb="27">
      <t>タイイクカン</t>
    </rPh>
    <rPh sb="28" eb="30">
      <t>ゲキジョウ</t>
    </rPh>
    <rPh sb="31" eb="34">
      <t>エイガカン</t>
    </rPh>
    <rPh sb="35" eb="37">
      <t>テンジ</t>
    </rPh>
    <rPh sb="37" eb="39">
      <t>シセツ</t>
    </rPh>
    <phoneticPr fontId="22"/>
  </si>
  <si>
    <t>学(大学等)・
会(図)・病(診)</t>
    <rPh sb="8" eb="9">
      <t>カイ</t>
    </rPh>
    <rPh sb="10" eb="11">
      <t>ズ</t>
    </rPh>
    <rPh sb="13" eb="14">
      <t>ビョウ</t>
    </rPh>
    <rPh sb="15" eb="16">
      <t>ミ</t>
    </rPh>
    <phoneticPr fontId="22"/>
  </si>
  <si>
    <t>会(その他)</t>
    <rPh sb="4" eb="5">
      <t>ホカ</t>
    </rPh>
    <phoneticPr fontId="22"/>
  </si>
  <si>
    <t>物・飲</t>
  </si>
  <si>
    <t>学(大学等)</t>
  </si>
  <si>
    <t>物・飲・会(その他)</t>
    <rPh sb="8" eb="9">
      <t>ホカ</t>
    </rPh>
    <phoneticPr fontId="22"/>
  </si>
  <si>
    <t>物・飲・会(その他)</t>
    <rPh sb="0" eb="1">
      <t>ブツ</t>
    </rPh>
    <rPh sb="2" eb="3">
      <t>イン</t>
    </rPh>
    <rPh sb="4" eb="5">
      <t>カイ</t>
    </rPh>
    <rPh sb="8" eb="9">
      <t>ホカ</t>
    </rPh>
    <phoneticPr fontId="22"/>
  </si>
  <si>
    <t>事・学・会(図)・病・ホ・工・住</t>
    <rPh sb="4" eb="5">
      <t>カイ</t>
    </rPh>
    <rPh sb="6" eb="7">
      <t>ズ</t>
    </rPh>
    <rPh sb="15" eb="16">
      <t>ジュウ</t>
    </rPh>
    <phoneticPr fontId="22"/>
  </si>
  <si>
    <t>物・飲・会(図)・病・ホ・住</t>
    <rPh sb="2" eb="3">
      <t>イン</t>
    </rPh>
    <rPh sb="4" eb="5">
      <t>カイ</t>
    </rPh>
    <rPh sb="6" eb="7">
      <t>ズ</t>
    </rPh>
    <rPh sb="9" eb="10">
      <t>ビョウ</t>
    </rPh>
    <rPh sb="13" eb="14">
      <t>ジュウ</t>
    </rPh>
    <phoneticPr fontId="22"/>
  </si>
  <si>
    <t>事・病(診)・会(図)・工</t>
    <rPh sb="4" eb="5">
      <t>ミ</t>
    </rPh>
    <rPh sb="7" eb="8">
      <t>カイ</t>
    </rPh>
    <rPh sb="9" eb="10">
      <t>ズ</t>
    </rPh>
    <rPh sb="12" eb="13">
      <t>コウ</t>
    </rPh>
    <phoneticPr fontId="22"/>
  </si>
  <si>
    <t>事・学(大学等)・会(その他)・
物・病・ホ・工・住</t>
    <rPh sb="2" eb="3">
      <t>ガク</t>
    </rPh>
    <rPh sb="9" eb="10">
      <t>カイ</t>
    </rPh>
    <rPh sb="13" eb="14">
      <t>ホカ</t>
    </rPh>
    <rPh sb="17" eb="18">
      <t>ブツ</t>
    </rPh>
    <rPh sb="25" eb="26">
      <t>ジュウ</t>
    </rPh>
    <phoneticPr fontId="22"/>
  </si>
  <si>
    <t>事・学(大学)・会(図)・工</t>
    <rPh sb="0" eb="1">
      <t>コト</t>
    </rPh>
    <rPh sb="2" eb="3">
      <t>ガク</t>
    </rPh>
    <rPh sb="4" eb="6">
      <t>ダイガク</t>
    </rPh>
    <rPh sb="8" eb="9">
      <t>カイ</t>
    </rPh>
    <rPh sb="10" eb="11">
      <t>ズ</t>
    </rPh>
    <rPh sb="13" eb="14">
      <t>コウ</t>
    </rPh>
    <phoneticPr fontId="22"/>
  </si>
  <si>
    <t>会（その他）において、博物館・展示施設は評価対象外</t>
    <phoneticPr fontId="22"/>
  </si>
  <si>
    <t>会(その他)では博物館・展示施設のみを評価対象とする。博物館・展示施設は展示室のみを評価する。</t>
    <phoneticPr fontId="22"/>
  </si>
  <si>
    <t>北海道電力(株)</t>
  </si>
  <si>
    <t>東北電力(株)</t>
  </si>
  <si>
    <t>東京電力(株)</t>
  </si>
  <si>
    <t>中部電力(株)</t>
  </si>
  <si>
    <t>北陸電力(株)</t>
  </si>
  <si>
    <t>関西電力(株)</t>
  </si>
  <si>
    <t>中国電力(株)</t>
  </si>
  <si>
    <t>四国電力(株)</t>
  </si>
  <si>
    <t>九州電力(株)</t>
  </si>
  <si>
    <t>沖縄電力(株)</t>
  </si>
  <si>
    <t>アーバンエナジー(株)</t>
  </si>
  <si>
    <t>アストモスエネルギー(株)</t>
  </si>
  <si>
    <t>イーレックス(株)</t>
  </si>
  <si>
    <t>（一財）中之条電力</t>
  </si>
  <si>
    <t>（一社）電力託送代行機構</t>
  </si>
  <si>
    <t>出光グリーンパワー(株)</t>
  </si>
  <si>
    <t>伊藤忠エネクス(株)</t>
  </si>
  <si>
    <t>ＳＢパワー(株)</t>
  </si>
  <si>
    <t>エネサーブ(株)</t>
  </si>
  <si>
    <t>荏原環境プラント(株)</t>
  </si>
  <si>
    <t>王子製紙(株)</t>
  </si>
  <si>
    <t>オリックス(株)</t>
  </si>
  <si>
    <t>(株)イーセル</t>
  </si>
  <si>
    <t>(株)岩手ウッドパワー</t>
  </si>
  <si>
    <t>(株)うなかみの大地</t>
  </si>
  <si>
    <t>(株)ＳＥウイングズ</t>
  </si>
  <si>
    <t>(株)エヌパワー</t>
  </si>
  <si>
    <t>(株)エネット</t>
  </si>
  <si>
    <t>(株)Ｆ－Ｐｏｗｅｒ</t>
  </si>
  <si>
    <t>(株)関電エネルギーソリューション</t>
  </si>
  <si>
    <t>(株)クールトラスト</t>
  </si>
  <si>
    <t>(株)グローバルエンジニアリング</t>
  </si>
  <si>
    <t>(株)ケーキュービック</t>
  </si>
  <si>
    <t>(株)洸陽電機</t>
  </si>
  <si>
    <t>(株)サイサン</t>
  </si>
  <si>
    <t>(株)サニックス</t>
  </si>
  <si>
    <t>(株)ＣＮＯパワーソリューションズ</t>
  </si>
  <si>
    <t>(株)Ｇ－Ｐｏｗｅｒ</t>
  </si>
  <si>
    <t>(株)新出光</t>
  </si>
  <si>
    <t>(株)トヨタタービンアンドシステム</t>
  </si>
  <si>
    <t>(株)とんでん</t>
  </si>
  <si>
    <t>(株)ナンワエナジー</t>
  </si>
  <si>
    <t>(株)日本セレモニー</t>
  </si>
  <si>
    <t>(株)Ｖ－Ｐｏｗｅｒ</t>
  </si>
  <si>
    <t>(株)フォレストパワー</t>
  </si>
  <si>
    <t>(株)ベイサイドエナジー</t>
  </si>
  <si>
    <t>京葉瓦斯(株)</t>
  </si>
  <si>
    <t>サミットエナジー(株)</t>
  </si>
  <si>
    <t>ＪＸ日鉱日石エネルギー(株)</t>
  </si>
  <si>
    <t>ＪＬエナジー(株)</t>
  </si>
  <si>
    <t>志賀高原リゾート開発(株)</t>
  </si>
  <si>
    <t>シナネン(株)</t>
  </si>
  <si>
    <t>昭和シェル石油(株)</t>
  </si>
  <si>
    <t>新日鉄住金エンジニアリング(株)</t>
  </si>
  <si>
    <t>鈴与商事(株)</t>
  </si>
  <si>
    <t>泉北天然ガス発電(株)</t>
  </si>
  <si>
    <t>総合エネルギー(株)</t>
  </si>
  <si>
    <t>大東エナジー(株)</t>
  </si>
  <si>
    <t>ダイヤモンドパワー(株)</t>
  </si>
  <si>
    <t>大和ハウス工業(株)</t>
  </si>
  <si>
    <t>中央電力エナジー(株)</t>
  </si>
  <si>
    <t>テス・エンジニアリング(株)</t>
  </si>
  <si>
    <t>テプコカスタマーサービス(株)</t>
  </si>
  <si>
    <t>東京エコサービス(株)</t>
  </si>
  <si>
    <t>にちほクラウド電力(株)</t>
  </si>
  <si>
    <t>日産トレーデイング(株)</t>
  </si>
  <si>
    <t>日本アルファ電力(株)</t>
  </si>
  <si>
    <t>日本テクノ(株)</t>
  </si>
  <si>
    <t>パナソニック(株)</t>
  </si>
  <si>
    <t>プレミアムグリーンパワー(株)</t>
  </si>
  <si>
    <t>本田技研工業(株)</t>
  </si>
  <si>
    <t>丸紅(株)</t>
  </si>
  <si>
    <t>ミサワホーム(株)</t>
  </si>
  <si>
    <t>三井物産(株)</t>
  </si>
  <si>
    <t>ミツウロコグリーンエネルギー(株)</t>
  </si>
  <si>
    <t>リエスパワー(株)</t>
  </si>
  <si>
    <t>ワタミファーム＆エナジー(株)</t>
  </si>
  <si>
    <t>平成26年度の電気事業者別実排出係数等の公表値</t>
    <phoneticPr fontId="22"/>
  </si>
  <si>
    <r>
      <t>平成26</t>
    </r>
    <r>
      <rPr>
        <sz val="11"/>
        <rFont val="ＭＳ Ｐゴシック"/>
        <family val="3"/>
        <charset val="128"/>
      </rPr>
      <t>年度の電気事業者別実排出係数等の公表値</t>
    </r>
    <r>
      <rPr>
        <sz val="11"/>
        <rFont val="ＭＳ Ｐゴシック"/>
        <family val="3"/>
        <charset val="128"/>
      </rPr>
      <t xml:space="preserve"> (H27.11.30公表)</t>
    </r>
    <rPh sb="22" eb="23">
      <t>チ</t>
    </rPh>
    <rPh sb="34" eb="36">
      <t>コウヒョウ</t>
    </rPh>
    <phoneticPr fontId="22"/>
  </si>
  <si>
    <t>北海道電力(株)</t>
    <phoneticPr fontId="22"/>
  </si>
  <si>
    <t>電気事業者から供給された電気</t>
    <phoneticPr fontId="22"/>
  </si>
  <si>
    <t>■LR1　「建築物エネルギー消費性能確保計画」等からの必要事項の転記</t>
    <rPh sb="6" eb="9">
      <t>ケンチクブツ</t>
    </rPh>
    <rPh sb="14" eb="16">
      <t>ショウヒ</t>
    </rPh>
    <rPh sb="16" eb="18">
      <t>セイノウ</t>
    </rPh>
    <rPh sb="18" eb="20">
      <t>カクホ</t>
    </rPh>
    <rPh sb="20" eb="22">
      <t>ケイカク</t>
    </rPh>
    <rPh sb="23" eb="24">
      <t>トウ</t>
    </rPh>
    <phoneticPr fontId="22"/>
  </si>
  <si>
    <t>2</t>
    <phoneticPr fontId="22"/>
  </si>
  <si>
    <t>1</t>
    <phoneticPr fontId="22"/>
  </si>
  <si>
    <t>住宅部分</t>
    <rPh sb="0" eb="2">
      <t>ジュウタク</t>
    </rPh>
    <rPh sb="2" eb="4">
      <t>ブブン</t>
    </rPh>
    <phoneticPr fontId="22"/>
  </si>
  <si>
    <t xml:space="preserve">[BPI][BPIm] = </t>
    <phoneticPr fontId="22"/>
  </si>
  <si>
    <t>等級4を超える</t>
    <rPh sb="0" eb="2">
      <t>トウキュウ</t>
    </rPh>
    <rPh sb="4" eb="5">
      <t>コ</t>
    </rPh>
    <phoneticPr fontId="22"/>
  </si>
  <si>
    <t>ｵﾝｻｲﾄの取組</t>
    <rPh sb="6" eb="8">
      <t>トリクミ</t>
    </rPh>
    <phoneticPr fontId="22"/>
  </si>
  <si>
    <t>一次ｴﾈﾙｷﾞｰ消費量</t>
    <rPh sb="0" eb="2">
      <t>イチジ</t>
    </rPh>
    <rPh sb="8" eb="11">
      <t>ショウヒリョウ</t>
    </rPh>
    <phoneticPr fontId="24"/>
  </si>
  <si>
    <t>自然ｴﾈﾙｷﾞｰ削減量</t>
    <rPh sb="0" eb="2">
      <t>シゼン</t>
    </rPh>
    <rPh sb="8" eb="10">
      <t>サクゲン</t>
    </rPh>
    <rPh sb="10" eb="11">
      <t>リョウ</t>
    </rPh>
    <phoneticPr fontId="22"/>
  </si>
  <si>
    <t>電気分</t>
    <rPh sb="0" eb="2">
      <t>デンキ</t>
    </rPh>
    <rPh sb="2" eb="3">
      <t>ブン</t>
    </rPh>
    <phoneticPr fontId="22"/>
  </si>
  <si>
    <t>レベル３</t>
    <phoneticPr fontId="22"/>
  </si>
  <si>
    <t>Ａａ3</t>
    <phoneticPr fontId="22"/>
  </si>
  <si>
    <t>Ａｂ3</t>
    <phoneticPr fontId="22"/>
  </si>
  <si>
    <t>Ｂａ3</t>
    <phoneticPr fontId="22"/>
  </si>
  <si>
    <t>Ｂｂ3</t>
    <phoneticPr fontId="22"/>
  </si>
  <si>
    <t>Ｃａ3</t>
    <phoneticPr fontId="22"/>
  </si>
  <si>
    <t>Ｃｂ3</t>
    <phoneticPr fontId="22"/>
  </si>
  <si>
    <t>評価建物</t>
    <rPh sb="0" eb="2">
      <t>ヒョウカ</t>
    </rPh>
    <rPh sb="2" eb="4">
      <t>タテモノ</t>
    </rPh>
    <phoneticPr fontId="22"/>
  </si>
  <si>
    <t>事・学・工</t>
    <phoneticPr fontId="22"/>
  </si>
  <si>
    <t>物・飲・会・病・ホ</t>
    <phoneticPr fontId="22"/>
  </si>
  <si>
    <t>住</t>
    <rPh sb="0" eb="1">
      <t>ジュウ</t>
    </rPh>
    <phoneticPr fontId="22"/>
  </si>
  <si>
    <t>ﾚﾍﾞﾙ２</t>
    <phoneticPr fontId="22"/>
  </si>
  <si>
    <t>ﾚﾍﾞﾙ１</t>
    <phoneticPr fontId="22"/>
  </si>
  <si>
    <t>床面積(㎡)</t>
    <rPh sb="0" eb="3">
      <t>ユカメンセキ</t>
    </rPh>
    <rPh sb="1" eb="3">
      <t>メンセキ</t>
    </rPh>
    <phoneticPr fontId="22"/>
  </si>
  <si>
    <t>■用途別BEI設定値</t>
    <rPh sb="1" eb="3">
      <t>ようと</t>
    </rPh>
    <rPh sb="3" eb="4">
      <t>べつ</t>
    </rPh>
    <rPh sb="7" eb="10">
      <t>ｾｯﾃｲﾁ</t>
    </rPh>
    <phoneticPr fontId="35" type="noConversion"/>
  </si>
  <si>
    <t>等級４を超える水準</t>
    <rPh sb="0" eb="2">
      <t>トウキュウ</t>
    </rPh>
    <rPh sb="4" eb="5">
      <t>コ</t>
    </rPh>
    <rPh sb="7" eb="9">
      <t>スイジュン</t>
    </rPh>
    <phoneticPr fontId="22"/>
  </si>
  <si>
    <t>※2</t>
    <phoneticPr fontId="22"/>
  </si>
  <si>
    <t>相当　※1、2</t>
    <rPh sb="0" eb="2">
      <t>ソウトウ</t>
    </rPh>
    <phoneticPr fontId="22"/>
  </si>
  <si>
    <t>※1</t>
    <phoneticPr fontId="22"/>
  </si>
  <si>
    <t>＜８地域＞</t>
    <phoneticPr fontId="22"/>
  </si>
  <si>
    <t>＜１～７地域＞</t>
    <rPh sb="4" eb="6">
      <t>チイキ</t>
    </rPh>
    <phoneticPr fontId="22"/>
  </si>
  <si>
    <t>レベル4を超える水準の断熱性能を満たす。</t>
    <phoneticPr fontId="22"/>
  </si>
  <si>
    <t xml:space="preserve">レベル1: [BPI][BPIm] ≧ 1.03
レベル2: [BPI][BPIm] ＝ 1.00
レベル3: [BPI][BPIm] ＝ 0.97
レベル4: [BPI][BPIm] ＝ 0.90
レベル5: [BPI][BPIm] ≦ 0.80
各レベル間はBPIまたはBPImにより、小数点一桁までの直線補間で評価する。
</t>
    <phoneticPr fontId="22"/>
  </si>
  <si>
    <t xml:space="preserve">レベル1: [BPI][BPIm] ≧ 1.03
レベル2: [BPI][BPIm] ＝ 1.00
レベル3: [BPI][BPIm] ＝ 0.97
レベル4: [BPI][BPIm] ＝ 0.93
レベル5: [BPI][BPIm] ≦ 0.85
各レベル間はBPIまたはBPImにより、小数点一桁までの直線補間で評価する。
</t>
    <phoneticPr fontId="22"/>
  </si>
  <si>
    <t>「住宅部分の外壁、窓等を通しての熱の損失の防止に関する基準及び一次エネルギー消費量に関する基準（平成28年国土交通省告示266号）」に定められる「外壁、窓等を通しての熱の損失の防止に関する基準」および「一次エネルギー消費量に関する基準」の双方を満たす場合は「レベル３」、これを満たさない場合は、「レベル１」とする。</t>
    <rPh sb="138" eb="139">
      <t>ミ</t>
    </rPh>
    <rPh sb="143" eb="145">
      <t>バアイ</t>
    </rPh>
    <phoneticPr fontId="22"/>
  </si>
  <si>
    <t>工場の生産エリアへの利用量は、評価しない。</t>
    <rPh sb="0" eb="2">
      <t>コウジョウ</t>
    </rPh>
    <rPh sb="15" eb="17">
      <t>ヒョウカ</t>
    </rPh>
    <phoneticPr fontId="22"/>
  </si>
  <si>
    <t>＜用途①＞
レベル1: [BEI][BEIm] ≧ 1.10
レベル2: [BEI][BEIm] ＝ 1.00
レベル3: [BEI][BEIm] ＝ 0.80
レベル4: [BEI][BEIm] ＝ 0.70
レベル5: [BEI][BEIm] ≦ 0.60
各レベル間はBEIまたはBEImにより、小数点一桁までの直線補間で評価する。</t>
    <rPh sb="1" eb="3">
      <t>ヨウト</t>
    </rPh>
    <phoneticPr fontId="22"/>
  </si>
  <si>
    <t>＜用途②＞
レベル1: [BEI][BEIm] ≧ 1.10
レベル2: [BEI][BEIm] ＝ 1.00
レベル3: [BEI][BEIm] ＝ 0.80
レベル4: [BEI][BEIm] ＝ 0.75
レベル5: [BEI][BEIm] ≦ 0.70
各レベル間はBEIまたはBEImにより、小数点一桁までの直線補間で評価する。</t>
    <rPh sb="0" eb="2">
      <t>ヨウト</t>
    </rPh>
    <phoneticPr fontId="22"/>
  </si>
  <si>
    <t>＜用途③＞
レベル1: [BEI] ≧ 1.20
レベル2: [BEI] ＝ 1.10
レベル3: [BEI] ＝ 1.00
レベル4: [BEI] ＝ 0.90
レベル5: [BEI] ≦ 0.85
各レベル間はBEIにより、小数点一桁までの直線補間で評価する.</t>
    <rPh sb="1" eb="3">
      <t>ヨウト</t>
    </rPh>
    <phoneticPr fontId="22"/>
  </si>
  <si>
    <t>[BEI][BEIm] ≧</t>
    <phoneticPr fontId="22"/>
  </si>
  <si>
    <t>[BEI][BEIm] ＝</t>
    <phoneticPr fontId="22"/>
  </si>
  <si>
    <t>[BEI][BEIm] ≦</t>
    <phoneticPr fontId="22"/>
  </si>
  <si>
    <t>レベル1:</t>
    <phoneticPr fontId="22"/>
  </si>
  <si>
    <t>レベル2:</t>
    <phoneticPr fontId="22"/>
  </si>
  <si>
    <t>レベル3:</t>
  </si>
  <si>
    <t>レベル4:</t>
  </si>
  <si>
    <t>レベル5:</t>
  </si>
  <si>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t>
    </r>
    <rPh sb="7" eb="9">
      <t>ケンチク</t>
    </rPh>
    <rPh sb="10" eb="12">
      <t>シンチク</t>
    </rPh>
    <rPh sb="17" eb="18">
      <t>ネン</t>
    </rPh>
    <rPh sb="18" eb="19">
      <t>バン</t>
    </rPh>
    <phoneticPr fontId="22"/>
  </si>
  <si>
    <t xml:space="preserve">共用部を含む非住宅部分[BEI] = </t>
    <rPh sb="0" eb="2">
      <t>キョウヨウ</t>
    </rPh>
    <rPh sb="2" eb="3">
      <t>ブ</t>
    </rPh>
    <rPh sb="4" eb="5">
      <t>フク</t>
    </rPh>
    <rPh sb="6" eb="7">
      <t>ヒ</t>
    </rPh>
    <rPh sb="7" eb="9">
      <t>ジュウタク</t>
    </rPh>
    <rPh sb="9" eb="11">
      <t>ブブン</t>
    </rPh>
    <phoneticPr fontId="22"/>
  </si>
  <si>
    <t>床面積比率</t>
    <rPh sb="0" eb="3">
      <t>ユカメンセキ</t>
    </rPh>
    <rPh sb="1" eb="3">
      <t>メンセキ</t>
    </rPh>
    <rPh sb="3" eb="4">
      <t>ヒ</t>
    </rPh>
    <rPh sb="4" eb="5">
      <t>リツ</t>
    </rPh>
    <phoneticPr fontId="22"/>
  </si>
  <si>
    <t>住戸合計</t>
    <rPh sb="0" eb="2">
      <t>ジュウコ</t>
    </rPh>
    <rPh sb="2" eb="4">
      <t>ゴウケイ</t>
    </rPh>
    <phoneticPr fontId="22"/>
  </si>
  <si>
    <t>BEI未入力</t>
    <rPh sb="3" eb="6">
      <t>ミニュウリョク</t>
    </rPh>
    <phoneticPr fontId="22"/>
  </si>
  <si>
    <t>BPI未入力</t>
    <rPh sb="3" eb="6">
      <t>ミニュウリョク</t>
    </rPh>
    <phoneticPr fontId="22"/>
  </si>
  <si>
    <t xml:space="preserve">BEI = </t>
    <phoneticPr fontId="22"/>
  </si>
  <si>
    <t>建築物の取組み（②）</t>
  </si>
  <si>
    <t>■太陽光発電等エネルギー量（③ｵﾝｻｲﾄの取組）</t>
    <rPh sb="1" eb="4">
      <t>ﾀｲﾖｳｺｳ</t>
    </rPh>
    <rPh sb="4" eb="6">
      <t>ﾊﾂﾃﾞﾝ</t>
    </rPh>
    <rPh sb="6" eb="7">
      <t>とう</t>
    </rPh>
    <rPh sb="12" eb="13">
      <t>ﾘｮｳ</t>
    </rPh>
    <rPh sb="21" eb="23">
      <t>とりくみ</t>
    </rPh>
    <phoneticPr fontId="35" type="noConversion"/>
  </si>
  <si>
    <t>うちBEI評価に含まれる量（ex.自家消費分相当）</t>
    <rPh sb="5" eb="7">
      <t>ヒョウカ</t>
    </rPh>
    <rPh sb="8" eb="9">
      <t>フク</t>
    </rPh>
    <rPh sb="12" eb="13">
      <t>リョウ</t>
    </rPh>
    <rPh sb="17" eb="19">
      <t>ジカ</t>
    </rPh>
    <rPh sb="19" eb="21">
      <t>ショウヒ</t>
    </rPh>
    <rPh sb="21" eb="22">
      <t>ブン</t>
    </rPh>
    <rPh sb="22" eb="24">
      <t>ソウトウ</t>
    </rPh>
    <phoneticPr fontId="22"/>
  </si>
  <si>
    <t>総量※</t>
    <rPh sb="0" eb="2">
      <t>ソウリョウ</t>
    </rPh>
    <phoneticPr fontId="22"/>
  </si>
  <si>
    <t>※全量買取制度は評価対象外</t>
    <rPh sb="1" eb="3">
      <t>ゼンリョウ</t>
    </rPh>
    <rPh sb="3" eb="5">
      <t>カイトリ</t>
    </rPh>
    <rPh sb="5" eb="7">
      <t>セイド</t>
    </rPh>
    <rPh sb="8" eb="10">
      <t>ヒョウカ</t>
    </rPh>
    <rPh sb="10" eb="12">
      <t>タイショウ</t>
    </rPh>
    <rPh sb="12" eb="13">
      <t>ガイ</t>
    </rPh>
    <phoneticPr fontId="22"/>
  </si>
  <si>
    <t>㎡ 　うち省エネ計画対象面積</t>
    <rPh sb="5" eb="6">
      <t>ショウ</t>
    </rPh>
    <rPh sb="8" eb="10">
      <t>ケイカク</t>
    </rPh>
    <rPh sb="10" eb="12">
      <t>タイショウ</t>
    </rPh>
    <rPh sb="12" eb="14">
      <t>メンセキ</t>
    </rPh>
    <phoneticPr fontId="22"/>
  </si>
  <si>
    <t>■基準一次エネルギー消費量 (その他一次ｴﾈﾙｷﾞｰを含む)</t>
    <rPh sb="1" eb="3">
      <t>ｷｼﾞｭﾝ</t>
    </rPh>
    <rPh sb="3" eb="5">
      <t>ｲﾁｼﾞ</t>
    </rPh>
    <rPh sb="10" eb="13">
      <t>ｼｮｳﾋﾘｮｳ</t>
    </rPh>
    <rPh sb="17" eb="18">
      <t>ほか</t>
    </rPh>
    <rPh sb="18" eb="20">
      <t>いちじ</t>
    </rPh>
    <rPh sb="27" eb="28">
      <t>ふく</t>
    </rPh>
    <phoneticPr fontId="35" type="noConversion"/>
  </si>
  <si>
    <t>■設計一次エネルギー消費量 (その他一次ｴﾈﾙｷﾞｰを含む)</t>
    <rPh sb="1" eb="3">
      <t>ｾｯｹｲ</t>
    </rPh>
    <rPh sb="3" eb="5">
      <t>ｲﾁｼﾞ</t>
    </rPh>
    <rPh sb="10" eb="13">
      <t>ｼｮｳﾋﾘｮｳ</t>
    </rPh>
    <phoneticPr fontId="35" type="noConversion"/>
  </si>
  <si>
    <t>共用部ゲストルーム等
住戸扱い</t>
  </si>
  <si>
    <t>重点項目</t>
    <rPh sb="0" eb="2">
      <t>ジュウテン</t>
    </rPh>
    <rPh sb="2" eb="4">
      <t>コウモク</t>
    </rPh>
    <phoneticPr fontId="22"/>
  </si>
  <si>
    <t>集合
住宅</t>
    <rPh sb="0" eb="2">
      <t>シュウゴウ</t>
    </rPh>
    <rPh sb="3" eb="5">
      <t>ジュウタク</t>
    </rPh>
    <phoneticPr fontId="22"/>
  </si>
  <si>
    <t>W</t>
    <phoneticPr fontId="22"/>
  </si>
  <si>
    <t>W ⑨</t>
    <phoneticPr fontId="22"/>
  </si>
  <si>
    <t>W ⑤</t>
    <phoneticPr fontId="22"/>
  </si>
  <si>
    <t>W ⑨</t>
    <phoneticPr fontId="22"/>
  </si>
  <si>
    <t>W ⑤</t>
    <phoneticPr fontId="22"/>
  </si>
  <si>
    <t>W ⑨</t>
  </si>
  <si>
    <t>W ⑥</t>
    <phoneticPr fontId="22"/>
  </si>
  <si>
    <t>W ⑥</t>
    <phoneticPr fontId="22"/>
  </si>
  <si>
    <t>W ⑩</t>
    <phoneticPr fontId="22"/>
  </si>
  <si>
    <t>W ⑩</t>
  </si>
  <si>
    <t>W</t>
    <phoneticPr fontId="22"/>
  </si>
  <si>
    <t>W ⑪</t>
    <phoneticPr fontId="22"/>
  </si>
  <si>
    <t>W ⑪</t>
  </si>
  <si>
    <t>W ⑫</t>
    <phoneticPr fontId="22"/>
  </si>
  <si>
    <t>W ⑫</t>
  </si>
  <si>
    <t>R</t>
    <phoneticPr fontId="22"/>
  </si>
  <si>
    <t>R</t>
    <phoneticPr fontId="22"/>
  </si>
  <si>
    <t>R ⑮</t>
  </si>
  <si>
    <t>R ⑯</t>
  </si>
  <si>
    <t>R ⑰</t>
    <phoneticPr fontId="22"/>
  </si>
  <si>
    <t>R ⑰</t>
  </si>
  <si>
    <t>T ⑱</t>
    <phoneticPr fontId="22"/>
  </si>
  <si>
    <t>T ⑲</t>
    <phoneticPr fontId="22"/>
  </si>
  <si>
    <t>T ⑳</t>
    <phoneticPr fontId="22"/>
  </si>
  <si>
    <t>W ⑭</t>
    <phoneticPr fontId="22"/>
  </si>
  <si>
    <t>E ①</t>
  </si>
  <si>
    <t>E ②</t>
  </si>
  <si>
    <t>E ③</t>
  </si>
  <si>
    <t>E ④</t>
  </si>
  <si>
    <t>RN使用欄</t>
    <rPh sb="2" eb="4">
      <t>シヨウ</t>
    </rPh>
    <rPh sb="4" eb="5">
      <t>ラン</t>
    </rPh>
    <phoneticPr fontId="22"/>
  </si>
  <si>
    <t>耐震･免震・制震・制振</t>
  </si>
  <si>
    <r>
      <t xml:space="preserve">2.1.1 </t>
    </r>
    <r>
      <rPr>
        <b/>
        <sz val="10"/>
        <rFont val="ＭＳ Ｐゴシック"/>
        <family val="3"/>
        <charset val="128"/>
      </rPr>
      <t>耐震性（建物のこわれにくさ）</t>
    </r>
    <phoneticPr fontId="22"/>
  </si>
  <si>
    <t>揺れを抑える装置を導入していない。</t>
  </si>
  <si>
    <t>揺れを抑える装置を導入し、部分的に強風時・強風時の内部設備保護が図られている。</t>
  </si>
  <si>
    <t>揺れを抑える装置を導入し、建物全体で強風時・強風時の内部設備保護が図られている。</t>
  </si>
  <si>
    <t>躯体材料が着脱しやすいように設計されているなど、躯体材料のリサイクル・リユースについて取組無し</t>
    <rPh sb="0" eb="2">
      <t>クタイ</t>
    </rPh>
    <rPh sb="2" eb="4">
      <t>ザイリョウ</t>
    </rPh>
    <rPh sb="5" eb="7">
      <t>チャクダツ</t>
    </rPh>
    <rPh sb="14" eb="16">
      <t>セッケイ</t>
    </rPh>
    <rPh sb="24" eb="26">
      <t>クタイ</t>
    </rPh>
    <rPh sb="26" eb="28">
      <t>ザイリョウ</t>
    </rPh>
    <rPh sb="43" eb="45">
      <t>トリクミ</t>
    </rPh>
    <rPh sb="45" eb="46">
      <t>ナ</t>
    </rPh>
    <phoneticPr fontId="3"/>
  </si>
  <si>
    <t>躯体材料の一部が着脱でき、それらをリサイクルもしくはリユースできる</t>
    <rPh sb="0" eb="2">
      <t>クタイ</t>
    </rPh>
    <rPh sb="2" eb="4">
      <t>ザイリョウ</t>
    </rPh>
    <rPh sb="5" eb="7">
      <t>イチブ</t>
    </rPh>
    <phoneticPr fontId="3"/>
  </si>
  <si>
    <t>躯体材料の大半が着脱できるか、もしくは、単種類の材料で構成されていて、それらを少なくともリサイクルはできる</t>
    <rPh sb="0" eb="2">
      <t>クタイ</t>
    </rPh>
    <rPh sb="2" eb="4">
      <t>ザイリョウ</t>
    </rPh>
    <rPh sb="5" eb="7">
      <t>タイハン</t>
    </rPh>
    <rPh sb="20" eb="21">
      <t>タン</t>
    </rPh>
    <rPh sb="21" eb="23">
      <t>シュルイ</t>
    </rPh>
    <rPh sb="24" eb="26">
      <t>ザイリョウ</t>
    </rPh>
    <rPh sb="27" eb="29">
      <t>コウセイ</t>
    </rPh>
    <rPh sb="39" eb="40">
      <t>スク</t>
    </rPh>
    <phoneticPr fontId="3"/>
  </si>
  <si>
    <t>レベル3に加えて、躯体材料の一部は規格材で構成されていてリユースできる</t>
    <rPh sb="5" eb="6">
      <t>クワ</t>
    </rPh>
    <rPh sb="9" eb="11">
      <t>クタイ</t>
    </rPh>
    <rPh sb="11" eb="13">
      <t>ザイリョウ</t>
    </rPh>
    <rPh sb="14" eb="16">
      <t>イチブ</t>
    </rPh>
    <rPh sb="17" eb="19">
      <t>キカク</t>
    </rPh>
    <rPh sb="19" eb="20">
      <t>ザイ</t>
    </rPh>
    <rPh sb="21" eb="23">
      <t>コウセイ</t>
    </rPh>
    <phoneticPr fontId="3"/>
  </si>
  <si>
    <t>レベル3に加えて、躯体材料の大半は規格材で構成されていてリユースできる</t>
    <rPh sb="9" eb="11">
      <t>クタイ</t>
    </rPh>
    <rPh sb="11" eb="13">
      <t>ザイリョウ</t>
    </rPh>
    <rPh sb="14" eb="16">
      <t>タイハン</t>
    </rPh>
    <phoneticPr fontId="3"/>
  </si>
  <si>
    <r>
      <t>2.6.1</t>
    </r>
    <r>
      <rPr>
        <b/>
        <sz val="10"/>
        <rFont val="ＭＳ Ｐゴシック"/>
        <family val="3"/>
        <charset val="128"/>
      </rPr>
      <t>　躯体のリサイクル・リユース</t>
    </r>
    <rPh sb="6" eb="8">
      <t>クタイ</t>
    </rPh>
    <phoneticPr fontId="3"/>
  </si>
  <si>
    <r>
      <t>2.6.2</t>
    </r>
    <r>
      <rPr>
        <b/>
        <sz val="10"/>
        <rFont val="ＭＳ Ｐゴシック"/>
        <family val="3"/>
        <charset val="128"/>
      </rPr>
      <t>　屋根材のリサイクル・リユース</t>
    </r>
    <rPh sb="6" eb="8">
      <t>ヤネ</t>
    </rPh>
    <rPh sb="8" eb="9">
      <t>ザイ</t>
    </rPh>
    <phoneticPr fontId="3"/>
  </si>
  <si>
    <t>屋根材・下地材が着脱しやすいように設計されているなど、屋根材・下地材のリサイクル・リユースについて取組無し</t>
    <rPh sb="0" eb="2">
      <t>ヤネ</t>
    </rPh>
    <rPh sb="2" eb="3">
      <t>ザイ</t>
    </rPh>
    <rPh sb="4" eb="6">
      <t>シタジ</t>
    </rPh>
    <rPh sb="6" eb="7">
      <t>ザイ</t>
    </rPh>
    <rPh sb="8" eb="10">
      <t>チャクダツ</t>
    </rPh>
    <rPh sb="17" eb="19">
      <t>セッケイ</t>
    </rPh>
    <rPh sb="27" eb="29">
      <t>ヤネ</t>
    </rPh>
    <rPh sb="29" eb="30">
      <t>ザイ</t>
    </rPh>
    <rPh sb="31" eb="33">
      <t>シタジ</t>
    </rPh>
    <rPh sb="33" eb="34">
      <t>ザイ</t>
    </rPh>
    <rPh sb="49" eb="51">
      <t>トリクミ</t>
    </rPh>
    <rPh sb="51" eb="52">
      <t>ナ</t>
    </rPh>
    <phoneticPr fontId="3"/>
  </si>
  <si>
    <t>屋根材・下地材の一部が着脱でき、それらをリサイクルもしくはリユースできる</t>
    <rPh sb="8" eb="10">
      <t>イチブ</t>
    </rPh>
    <phoneticPr fontId="3"/>
  </si>
  <si>
    <t>屋根材・下地材の大半が着脱できるか、もしくは、単種類の材料で構成されていて、それらを少なくともリサイクルはできる</t>
    <rPh sb="8" eb="10">
      <t>タイハン</t>
    </rPh>
    <rPh sb="23" eb="24">
      <t>タン</t>
    </rPh>
    <rPh sb="24" eb="26">
      <t>シュルイ</t>
    </rPh>
    <rPh sb="27" eb="29">
      <t>ザイリョウ</t>
    </rPh>
    <rPh sb="30" eb="32">
      <t>コウセイ</t>
    </rPh>
    <rPh sb="42" eb="43">
      <t>スク</t>
    </rPh>
    <phoneticPr fontId="3"/>
  </si>
  <si>
    <t>レベル3に加えて、屋根材の一部は規格材で構成されていてリユースできる</t>
    <rPh sb="5" eb="6">
      <t>クワ</t>
    </rPh>
    <rPh sb="9" eb="11">
      <t>ヤネ</t>
    </rPh>
    <rPh sb="11" eb="12">
      <t>ザイ</t>
    </rPh>
    <rPh sb="13" eb="15">
      <t>イチブ</t>
    </rPh>
    <rPh sb="16" eb="18">
      <t>キカク</t>
    </rPh>
    <rPh sb="18" eb="19">
      <t>ザイ</t>
    </rPh>
    <rPh sb="20" eb="22">
      <t>コウセイ</t>
    </rPh>
    <phoneticPr fontId="3"/>
  </si>
  <si>
    <t>レベル3に加えて、屋根材の大半は規格材で構成されていてリユースできる</t>
    <rPh sb="13" eb="15">
      <t>タイハン</t>
    </rPh>
    <phoneticPr fontId="3"/>
  </si>
  <si>
    <r>
      <t>2.6.3</t>
    </r>
    <r>
      <rPr>
        <b/>
        <sz val="10"/>
        <rFont val="ＭＳ Ｐゴシック"/>
        <family val="3"/>
        <charset val="128"/>
      </rPr>
      <t>　外壁材のリサイクル・リユース</t>
    </r>
    <rPh sb="6" eb="8">
      <t>ガイヘキ</t>
    </rPh>
    <rPh sb="8" eb="9">
      <t>ザイ</t>
    </rPh>
    <phoneticPr fontId="22"/>
  </si>
  <si>
    <t>外壁材・下地材が着脱しやすいように設計されているなど、外壁材・下地材のリサイクル・リユースについて取組無し</t>
    <rPh sb="0" eb="2">
      <t>ガイヘキ</t>
    </rPh>
    <rPh sb="2" eb="3">
      <t>ザイ</t>
    </rPh>
    <rPh sb="4" eb="6">
      <t>シタジ</t>
    </rPh>
    <rPh sb="6" eb="7">
      <t>ザイ</t>
    </rPh>
    <rPh sb="8" eb="10">
      <t>チャクダツ</t>
    </rPh>
    <rPh sb="17" eb="19">
      <t>セッケイ</t>
    </rPh>
    <rPh sb="27" eb="29">
      <t>ガイヘキ</t>
    </rPh>
    <rPh sb="29" eb="30">
      <t>ザイ</t>
    </rPh>
    <rPh sb="31" eb="33">
      <t>シタジ</t>
    </rPh>
    <rPh sb="33" eb="34">
      <t>ザイ</t>
    </rPh>
    <rPh sb="49" eb="51">
      <t>トリクミ</t>
    </rPh>
    <rPh sb="51" eb="52">
      <t>ナ</t>
    </rPh>
    <phoneticPr fontId="3"/>
  </si>
  <si>
    <t>外壁材・下地材の一部が着脱でき、それらをリサイクルもしくはリユースできる</t>
    <rPh sb="0" eb="2">
      <t>ガイヘキ</t>
    </rPh>
    <rPh sb="8" eb="10">
      <t>イチブ</t>
    </rPh>
    <phoneticPr fontId="3"/>
  </si>
  <si>
    <t>外壁材・下地材の大半が着脱できるか、もしくは、単種類の材料で構成されていて、それらを少なくともリサイクルはできる</t>
    <rPh sb="0" eb="2">
      <t>ガイヘキ</t>
    </rPh>
    <rPh sb="8" eb="10">
      <t>タイハン</t>
    </rPh>
    <rPh sb="23" eb="24">
      <t>タン</t>
    </rPh>
    <rPh sb="24" eb="26">
      <t>シュルイ</t>
    </rPh>
    <rPh sb="27" eb="29">
      <t>ザイリョウ</t>
    </rPh>
    <rPh sb="30" eb="32">
      <t>コウセイ</t>
    </rPh>
    <rPh sb="42" eb="43">
      <t>スク</t>
    </rPh>
    <phoneticPr fontId="3"/>
  </si>
  <si>
    <t>レベル3に加えて、外壁材の一部は規格材で構成されていてリユースできる</t>
    <rPh sb="5" eb="6">
      <t>クワ</t>
    </rPh>
    <rPh sb="9" eb="11">
      <t>ガイヘキ</t>
    </rPh>
    <rPh sb="11" eb="12">
      <t>ザイ</t>
    </rPh>
    <rPh sb="13" eb="15">
      <t>イチブ</t>
    </rPh>
    <rPh sb="16" eb="18">
      <t>キカク</t>
    </rPh>
    <rPh sb="18" eb="19">
      <t>ザイ</t>
    </rPh>
    <rPh sb="20" eb="22">
      <t>コウセイ</t>
    </rPh>
    <phoneticPr fontId="3"/>
  </si>
  <si>
    <t>レベル3に加えて、外壁材の大半は規格材で構成されていてリユースできる</t>
    <rPh sb="9" eb="11">
      <t>ガイヘキ</t>
    </rPh>
    <rPh sb="13" eb="15">
      <t>タイハン</t>
    </rPh>
    <phoneticPr fontId="3"/>
  </si>
  <si>
    <t>内装材・下地材が着脱しやすいように設計されているなど、内装材・下地材のリサイクル・リユースについて取組無し</t>
    <rPh sb="0" eb="2">
      <t>ナイソウ</t>
    </rPh>
    <rPh sb="2" eb="3">
      <t>ザイ</t>
    </rPh>
    <rPh sb="4" eb="6">
      <t>シタジ</t>
    </rPh>
    <rPh sb="6" eb="7">
      <t>ザイ</t>
    </rPh>
    <rPh sb="8" eb="10">
      <t>チャクダツ</t>
    </rPh>
    <rPh sb="17" eb="19">
      <t>セッケイ</t>
    </rPh>
    <rPh sb="27" eb="29">
      <t>ナイソウ</t>
    </rPh>
    <rPh sb="29" eb="30">
      <t>ザイ</t>
    </rPh>
    <rPh sb="31" eb="33">
      <t>シタジ</t>
    </rPh>
    <rPh sb="33" eb="34">
      <t>ザイ</t>
    </rPh>
    <rPh sb="49" eb="51">
      <t>トリクミ</t>
    </rPh>
    <rPh sb="51" eb="52">
      <t>ナ</t>
    </rPh>
    <phoneticPr fontId="3"/>
  </si>
  <si>
    <t>内装材・下地材の一部が着脱でき、それらをリサイクルもしくはリユースできる</t>
    <rPh sb="0" eb="2">
      <t>ナイソウ</t>
    </rPh>
    <rPh sb="2" eb="3">
      <t>ザイ</t>
    </rPh>
    <rPh sb="8" eb="10">
      <t>イチブ</t>
    </rPh>
    <phoneticPr fontId="3"/>
  </si>
  <si>
    <t>内装材・下地材の大半が着脱できるか、もしくは、単種類の材料で構成されていて、それらを少なくともリサイクルはできる</t>
    <rPh sb="0" eb="2">
      <t>ナイソウ</t>
    </rPh>
    <rPh sb="2" eb="3">
      <t>ザイ</t>
    </rPh>
    <rPh sb="8" eb="10">
      <t>タイハン</t>
    </rPh>
    <rPh sb="23" eb="24">
      <t>タン</t>
    </rPh>
    <rPh sb="24" eb="26">
      <t>シュルイ</t>
    </rPh>
    <rPh sb="27" eb="29">
      <t>ザイリョウ</t>
    </rPh>
    <rPh sb="30" eb="32">
      <t>コウセイ</t>
    </rPh>
    <rPh sb="42" eb="43">
      <t>スク</t>
    </rPh>
    <phoneticPr fontId="3"/>
  </si>
  <si>
    <t>レベル3に加えて、内装材の一部は規格材で構成されていてリユースできる</t>
    <rPh sb="5" eb="6">
      <t>クワ</t>
    </rPh>
    <rPh sb="9" eb="11">
      <t>ナイソウ</t>
    </rPh>
    <rPh sb="11" eb="12">
      <t>ザイ</t>
    </rPh>
    <rPh sb="13" eb="15">
      <t>イチブ</t>
    </rPh>
    <rPh sb="16" eb="18">
      <t>キカク</t>
    </rPh>
    <rPh sb="18" eb="19">
      <t>ザイ</t>
    </rPh>
    <rPh sb="20" eb="22">
      <t>コウセイ</t>
    </rPh>
    <phoneticPr fontId="3"/>
  </si>
  <si>
    <t>レベル3に加えて、内装材の大半は規格材で構成されていてリユースできる</t>
    <rPh sb="9" eb="11">
      <t>ナイソウ</t>
    </rPh>
    <rPh sb="11" eb="12">
      <t>ザイ</t>
    </rPh>
    <rPh sb="13" eb="15">
      <t>タイハン</t>
    </rPh>
    <phoneticPr fontId="3"/>
  </si>
  <si>
    <r>
      <t>2.6.4</t>
    </r>
    <r>
      <rPr>
        <b/>
        <sz val="10"/>
        <rFont val="ＭＳ Ｐゴシック"/>
        <family val="3"/>
        <charset val="128"/>
      </rPr>
      <t>　内装材のリサイクル・リユース</t>
    </r>
    <rPh sb="6" eb="8">
      <t>ナイソウ</t>
    </rPh>
    <rPh sb="8" eb="9">
      <t>ザイ</t>
    </rPh>
    <phoneticPr fontId="3"/>
  </si>
  <si>
    <r>
      <t>2.6.5</t>
    </r>
    <r>
      <rPr>
        <b/>
        <sz val="10"/>
        <rFont val="ＭＳ Ｐゴシック"/>
        <family val="3"/>
        <charset val="128"/>
      </rPr>
      <t>　設備機器のリサイクル・リユース</t>
    </r>
    <rPh sb="6" eb="8">
      <t>セツビ</t>
    </rPh>
    <rPh sb="8" eb="10">
      <t>キキ</t>
    </rPh>
    <phoneticPr fontId="3"/>
  </si>
  <si>
    <r>
      <t>2.6.6</t>
    </r>
    <r>
      <rPr>
        <b/>
        <sz val="10"/>
        <rFont val="ＭＳ Ｐゴシック"/>
        <family val="3"/>
        <charset val="128"/>
      </rPr>
      <t>　外構資材のリユース</t>
    </r>
    <rPh sb="6" eb="8">
      <t>ガイコウ</t>
    </rPh>
    <rPh sb="8" eb="10">
      <t>シザイ</t>
    </rPh>
    <phoneticPr fontId="3"/>
  </si>
  <si>
    <t>廃棄物発生量の最小化</t>
    <phoneticPr fontId="22"/>
  </si>
  <si>
    <t>評価する取組みが1つ。</t>
  </si>
  <si>
    <t>評価する取組みが3つ。</t>
  </si>
  <si>
    <t>評価する取組みが4つ以上。</t>
  </si>
  <si>
    <t>評価する取組みが3つ以上。</t>
    <rPh sb="10" eb="12">
      <t>イジョウ</t>
    </rPh>
    <phoneticPr fontId="22"/>
  </si>
  <si>
    <t>短期使用</t>
    <rPh sb="0" eb="2">
      <t>タンキ</t>
    </rPh>
    <rPh sb="2" eb="4">
      <t>シヨウ</t>
    </rPh>
    <phoneticPr fontId="22"/>
  </si>
  <si>
    <t>2.6.1</t>
    <phoneticPr fontId="22"/>
  </si>
  <si>
    <t>2.6.2</t>
  </si>
  <si>
    <t>2.6.3</t>
  </si>
  <si>
    <t>2.6.4</t>
  </si>
  <si>
    <t>2.6.5</t>
  </si>
  <si>
    <t>2.6.6</t>
  </si>
  <si>
    <t>TC</t>
    <phoneticPr fontId="22"/>
  </si>
  <si>
    <t>NC</t>
    <phoneticPr fontId="22"/>
  </si>
  <si>
    <t>EB</t>
    <phoneticPr fontId="22"/>
  </si>
  <si>
    <t>部材の再利用可能性向上への取組み（TC)</t>
    <rPh sb="9" eb="11">
      <t>コウジョウ</t>
    </rPh>
    <rPh sb="13" eb="15">
      <t>トリク</t>
    </rPh>
    <phoneticPr fontId="22"/>
  </si>
  <si>
    <t>2.6.1</t>
    <phoneticPr fontId="22"/>
  </si>
  <si>
    <t>LR2 2.2</t>
    <phoneticPr fontId="22"/>
  </si>
  <si>
    <t>躯体のリサイクル・リユース</t>
  </si>
  <si>
    <t>躯体のリサイクル・リユース</t>
    <phoneticPr fontId="22"/>
  </si>
  <si>
    <t>屋根材のリサイクル・リユース</t>
  </si>
  <si>
    <t>屋根材のリサイクル・リユース</t>
    <phoneticPr fontId="22"/>
  </si>
  <si>
    <t>外壁材のリサイクル・リユース</t>
  </si>
  <si>
    <t>外壁材のリサイクル・リユース</t>
    <phoneticPr fontId="22"/>
  </si>
  <si>
    <t>内装材のリサイクル・リユース</t>
  </si>
  <si>
    <t>内装材のリサイクル・リユース</t>
    <phoneticPr fontId="22"/>
  </si>
  <si>
    <t>設備機器のリサイクル・リユース</t>
  </si>
  <si>
    <t>設備機器のリサイクル・リユース</t>
    <phoneticPr fontId="22"/>
  </si>
  <si>
    <t>外構資材のリユース</t>
  </si>
  <si>
    <t>外構資材のリユース</t>
    <phoneticPr fontId="22"/>
  </si>
  <si>
    <t>廃棄物発生量の最小化</t>
    <phoneticPr fontId="22"/>
  </si>
  <si>
    <t>LR2 2</t>
    <phoneticPr fontId="22"/>
  </si>
  <si>
    <t>３．短期使用</t>
    <rPh sb="2" eb="4">
      <t>タンキ</t>
    </rPh>
    <rPh sb="4" eb="6">
      <t>シヨウ</t>
    </rPh>
    <phoneticPr fontId="22"/>
  </si>
  <si>
    <t>短期使用</t>
    <rPh sb="0" eb="2">
      <t>タンキ</t>
    </rPh>
    <rPh sb="2" eb="4">
      <t>シヨウ</t>
    </rPh>
    <phoneticPr fontId="22"/>
  </si>
  <si>
    <t>住宅　専有部（住戸全体）※</t>
    <rPh sb="0" eb="2">
      <t>ジュウタク</t>
    </rPh>
    <rPh sb="3" eb="5">
      <t>センユウ</t>
    </rPh>
    <rPh sb="5" eb="6">
      <t>ブ</t>
    </rPh>
    <rPh sb="7" eb="9">
      <t>ジュウコ</t>
    </rPh>
    <rPh sb="9" eb="11">
      <t>ゼンタイ</t>
    </rPh>
    <phoneticPr fontId="22"/>
  </si>
  <si>
    <t>※算定プログラムによらない場合は、評価対象外</t>
    <rPh sb="1" eb="3">
      <t>サンテイ</t>
    </rPh>
    <rPh sb="13" eb="15">
      <t>バアイ</t>
    </rPh>
    <rPh sb="17" eb="19">
      <t>ヒョウカ</t>
    </rPh>
    <rPh sb="19" eb="21">
      <t>タイショウ</t>
    </rPh>
    <rPh sb="21" eb="22">
      <t>ガイ</t>
    </rPh>
    <phoneticPr fontId="22"/>
  </si>
  <si>
    <t>2）屋根緑化や壁面緑化等の建物緑化に用いる植物の移設・再使用を前提とした植栽方法の採用</t>
  </si>
  <si>
    <t>3）舗装用平板やブロック等道路用材について、移設・再使用を前提とした資材・工法の採用</t>
  </si>
  <si>
    <t>4）擁壁や植栽ブロック等土木用材について、移設・再使用を前提とした資材・工法の採用</t>
  </si>
  <si>
    <t>1)外構に植栽する樹木の移設・再使用を前提とした植栽方法の採用</t>
    <phoneticPr fontId="22"/>
  </si>
  <si>
    <t>取組み</t>
    <rPh sb="0" eb="2">
      <t>トリク</t>
    </rPh>
    <phoneticPr fontId="22"/>
  </si>
  <si>
    <t>自然素材利用による建築構造体の軽量化</t>
    <rPh sb="0" eb="2">
      <t>シゼン</t>
    </rPh>
    <rPh sb="2" eb="4">
      <t>ソザイ</t>
    </rPh>
    <rPh sb="4" eb="6">
      <t>リヨウ</t>
    </rPh>
    <rPh sb="9" eb="11">
      <t>ケンチク</t>
    </rPh>
    <rPh sb="11" eb="14">
      <t>コウゾウタイ</t>
    </rPh>
    <rPh sb="15" eb="18">
      <t>ケイリョウカ</t>
    </rPh>
    <phoneticPr fontId="3"/>
  </si>
  <si>
    <t>施工廃棄物減量計画・マネジメント手法の整備</t>
    <rPh sb="0" eb="2">
      <t>セコウ</t>
    </rPh>
    <rPh sb="2" eb="4">
      <t>ハイキ</t>
    </rPh>
    <rPh sb="4" eb="5">
      <t>ブツ</t>
    </rPh>
    <rPh sb="5" eb="7">
      <t>ゲンリョウ</t>
    </rPh>
    <rPh sb="7" eb="9">
      <t>ケイカク</t>
    </rPh>
    <rPh sb="16" eb="18">
      <t>シュホウ</t>
    </rPh>
    <rPh sb="19" eb="21">
      <t>セイビ</t>
    </rPh>
    <phoneticPr fontId="3"/>
  </si>
  <si>
    <t>リース・レンタル材料及び設備の採用</t>
    <rPh sb="8" eb="10">
      <t>ザイリョウ</t>
    </rPh>
    <rPh sb="10" eb="11">
      <t>オヨ</t>
    </rPh>
    <rPh sb="12" eb="14">
      <t>セツビ</t>
    </rPh>
    <rPh sb="15" eb="17">
      <t>サイヨウ</t>
    </rPh>
    <phoneticPr fontId="3"/>
  </si>
  <si>
    <t>リユース＆リサイクルルートと受け入れ先確保（リース・レンタルは除く）</t>
    <rPh sb="14" eb="15">
      <t>ウ</t>
    </rPh>
    <rPh sb="16" eb="17">
      <t>イ</t>
    </rPh>
    <rPh sb="18" eb="19">
      <t>サキ</t>
    </rPh>
    <rPh sb="19" eb="21">
      <t>カクホ</t>
    </rPh>
    <rPh sb="31" eb="32">
      <t>ノゾ</t>
    </rPh>
    <phoneticPr fontId="3"/>
  </si>
  <si>
    <t>その他（記述）</t>
    <rPh sb="2" eb="3">
      <t>ホカ</t>
    </rPh>
    <rPh sb="4" eb="6">
      <t>キジュツ</t>
    </rPh>
    <phoneticPr fontId="22"/>
  </si>
  <si>
    <t>5)その他（記述）</t>
    <rPh sb="4" eb="5">
      <t>ホカ</t>
    </rPh>
    <rPh sb="6" eb="8">
      <t>キジュツ</t>
    </rPh>
    <phoneticPr fontId="22"/>
  </si>
  <si>
    <t>1)使用材料種類の集約</t>
    <rPh sb="2" eb="4">
      <t>シヨウ</t>
    </rPh>
    <rPh sb="4" eb="6">
      <t>ザイリョウ</t>
    </rPh>
    <rPh sb="6" eb="8">
      <t>シュルイ</t>
    </rPh>
    <rPh sb="9" eb="11">
      <t>シュウヤク</t>
    </rPh>
    <phoneticPr fontId="3"/>
  </si>
  <si>
    <t>2)配管材の規格一律化・規格材の活用</t>
    <rPh sb="2" eb="4">
      <t>ハイカン</t>
    </rPh>
    <rPh sb="4" eb="5">
      <t>ザイ</t>
    </rPh>
    <rPh sb="6" eb="8">
      <t>キカク</t>
    </rPh>
    <rPh sb="8" eb="11">
      <t>イチリツカ</t>
    </rPh>
    <rPh sb="12" eb="14">
      <t>キカク</t>
    </rPh>
    <rPh sb="14" eb="15">
      <t>ザイ</t>
    </rPh>
    <rPh sb="16" eb="18">
      <t>カツヨウ</t>
    </rPh>
    <phoneticPr fontId="3"/>
  </si>
  <si>
    <t>3)設備機器（空調機）の規格化</t>
    <rPh sb="2" eb="4">
      <t>セツビ</t>
    </rPh>
    <rPh sb="4" eb="6">
      <t>キキ</t>
    </rPh>
    <rPh sb="7" eb="9">
      <t>クウチョウ</t>
    </rPh>
    <rPh sb="9" eb="10">
      <t>キ</t>
    </rPh>
    <rPh sb="12" eb="14">
      <t>キカク</t>
    </rPh>
    <rPh sb="14" eb="15">
      <t>カ</t>
    </rPh>
    <phoneticPr fontId="3"/>
  </si>
  <si>
    <t>4)設備機器（照明）の規格化</t>
    <rPh sb="2" eb="4">
      <t>セツビ</t>
    </rPh>
    <rPh sb="4" eb="6">
      <t>キキ</t>
    </rPh>
    <rPh sb="7" eb="9">
      <t>ショウメイ</t>
    </rPh>
    <rPh sb="11" eb="13">
      <t>キカク</t>
    </rPh>
    <rPh sb="13" eb="14">
      <t>カ</t>
    </rPh>
    <phoneticPr fontId="3"/>
  </si>
  <si>
    <t>5)設備機器の着脱性の確保</t>
    <rPh sb="2" eb="4">
      <t>セツビ</t>
    </rPh>
    <rPh sb="4" eb="6">
      <t>キキ</t>
    </rPh>
    <rPh sb="7" eb="10">
      <t>チャクダツセイ</t>
    </rPh>
    <rPh sb="11" eb="13">
      <t>カクホ</t>
    </rPh>
    <phoneticPr fontId="3"/>
  </si>
  <si>
    <t>6)設備機器と内装材・外装材・屋根材との錯綜を回避した納まり</t>
    <rPh sb="2" eb="4">
      <t>セツビ</t>
    </rPh>
    <rPh sb="4" eb="6">
      <t>キキ</t>
    </rPh>
    <rPh sb="7" eb="9">
      <t>ナイソウ</t>
    </rPh>
    <rPh sb="9" eb="10">
      <t>ザイ</t>
    </rPh>
    <rPh sb="11" eb="14">
      <t>ガイソウザイ</t>
    </rPh>
    <rPh sb="15" eb="17">
      <t>ヤネ</t>
    </rPh>
    <rPh sb="17" eb="18">
      <t>ザイ</t>
    </rPh>
    <rPh sb="20" eb="22">
      <t>サクソウ</t>
    </rPh>
    <rPh sb="23" eb="25">
      <t>カイヒ</t>
    </rPh>
    <rPh sb="27" eb="28">
      <t>オサ</t>
    </rPh>
    <phoneticPr fontId="3"/>
  </si>
  <si>
    <t>7)修理・部品交換しやすい設備機器の使用</t>
    <rPh sb="2" eb="4">
      <t>シュウリ</t>
    </rPh>
    <rPh sb="5" eb="7">
      <t>ブヒン</t>
    </rPh>
    <rPh sb="7" eb="9">
      <t>コウカン</t>
    </rPh>
    <rPh sb="13" eb="15">
      <t>セツビ</t>
    </rPh>
    <rPh sb="15" eb="17">
      <t>キキ</t>
    </rPh>
    <rPh sb="18" eb="20">
      <t>シヨウ</t>
    </rPh>
    <phoneticPr fontId="3"/>
  </si>
  <si>
    <t>事・会（屋外型）・病(待)・ホ・工・住</t>
    <rPh sb="2" eb="3">
      <t>カイ</t>
    </rPh>
    <rPh sb="4" eb="6">
      <t>オクガイ</t>
    </rPh>
    <rPh sb="6" eb="7">
      <t>ガタ</t>
    </rPh>
    <rPh sb="11" eb="12">
      <t>マツ</t>
    </rPh>
    <rPh sb="18" eb="19">
      <t>ジュウ</t>
    </rPh>
    <phoneticPr fontId="22"/>
  </si>
  <si>
    <t>事・会(図)（屋外型）</t>
    <rPh sb="2" eb="3">
      <t>カイ</t>
    </rPh>
    <rPh sb="4" eb="5">
      <t>ズ</t>
    </rPh>
    <rPh sb="7" eb="10">
      <t>オクガイガタ</t>
    </rPh>
    <phoneticPr fontId="22"/>
  </si>
  <si>
    <t>事・会(図)（屋外型）・病・ホ・工</t>
    <rPh sb="2" eb="3">
      <t>カイ</t>
    </rPh>
    <rPh sb="4" eb="5">
      <t>ズ</t>
    </rPh>
    <rPh sb="7" eb="10">
      <t>オクガイガタ</t>
    </rPh>
    <rPh sb="16" eb="17">
      <t>コウ</t>
    </rPh>
    <phoneticPr fontId="22"/>
  </si>
  <si>
    <t>■使用期間（開始/終了）</t>
    <rPh sb="1" eb="3">
      <t>ｼﾖｳ</t>
    </rPh>
    <rPh sb="3" eb="5">
      <t>ｷｶﾝ</t>
    </rPh>
    <rPh sb="6" eb="8">
      <t>ｶｲｼ</t>
    </rPh>
    <rPh sb="9" eb="11">
      <t>ｼｭｳﾘｮｳ</t>
    </rPh>
    <phoneticPr fontId="35" type="noConversion"/>
  </si>
  <si>
    <t>時間/日（想定値）</t>
    <rPh sb="0" eb="2">
      <t>ジカン</t>
    </rPh>
    <rPh sb="3" eb="4">
      <t>ニチ</t>
    </rPh>
    <phoneticPr fontId="22"/>
  </si>
  <si>
    <t>使用期間</t>
    <rPh sb="0" eb="2">
      <t>シヨウ</t>
    </rPh>
    <rPh sb="2" eb="4">
      <t>キカン</t>
    </rPh>
    <phoneticPr fontId="22"/>
  </si>
  <si>
    <t>2016年６月～８月</t>
    <rPh sb="4" eb="5">
      <t>ネン</t>
    </rPh>
    <rPh sb="6" eb="7">
      <t>ガツ</t>
    </rPh>
    <rPh sb="9" eb="10">
      <t>ガツ</t>
    </rPh>
    <phoneticPr fontId="22"/>
  </si>
  <si>
    <t>3</t>
    <phoneticPr fontId="22"/>
  </si>
  <si>
    <t>外壁、窓等を通しての熱の損失の防止に関する事項</t>
    <rPh sb="0" eb="2">
      <t>ガイヘキ</t>
    </rPh>
    <rPh sb="3" eb="4">
      <t>マド</t>
    </rPh>
    <rPh sb="4" eb="5">
      <t>トウ</t>
    </rPh>
    <rPh sb="6" eb="7">
      <t>トオ</t>
    </rPh>
    <rPh sb="10" eb="11">
      <t>ネツ</t>
    </rPh>
    <rPh sb="12" eb="14">
      <t>ソンシツ</t>
    </rPh>
    <rPh sb="15" eb="17">
      <t>ボウシ</t>
    </rPh>
    <rPh sb="18" eb="19">
      <t>カン</t>
    </rPh>
    <rPh sb="21" eb="23">
      <t>ジコウ</t>
    </rPh>
    <phoneticPr fontId="22"/>
  </si>
  <si>
    <t>しない</t>
  </si>
  <si>
    <t>しない</t>
    <phoneticPr fontId="22"/>
  </si>
  <si>
    <t>「DECC非住宅建築物の環境関連データーベース（2016年6月公開データ、一般財団法人日本サステナブル建築協会）」を集計</t>
    <rPh sb="5" eb="6">
      <t>ヒ</t>
    </rPh>
    <rPh sb="6" eb="8">
      <t>ジュウタク</t>
    </rPh>
    <rPh sb="8" eb="11">
      <t>ケンチクブツ</t>
    </rPh>
    <rPh sb="12" eb="14">
      <t>カンキョウ</t>
    </rPh>
    <rPh sb="14" eb="16">
      <t>カンレン</t>
    </rPh>
    <rPh sb="28" eb="29">
      <t>ネン</t>
    </rPh>
    <rPh sb="30" eb="31">
      <t>ガツ</t>
    </rPh>
    <rPh sb="31" eb="33">
      <t>コウカイ</t>
    </rPh>
    <rPh sb="37" eb="39">
      <t>イッパン</t>
    </rPh>
    <rPh sb="39" eb="41">
      <t>ザイダン</t>
    </rPh>
    <rPh sb="41" eb="43">
      <t>ホウジン</t>
    </rPh>
    <rPh sb="43" eb="45">
      <t>ニホン</t>
    </rPh>
    <rPh sb="51" eb="53">
      <t>ケンチク</t>
    </rPh>
    <rPh sb="53" eb="55">
      <t>キョウカイ</t>
    </rPh>
    <rPh sb="58" eb="60">
      <t>シュウケイ</t>
    </rPh>
    <phoneticPr fontId="22"/>
  </si>
  <si>
    <t>ポイント</t>
    <phoneticPr fontId="22"/>
  </si>
  <si>
    <t>する</t>
    <phoneticPr fontId="22"/>
  </si>
  <si>
    <t>する</t>
    <phoneticPr fontId="22"/>
  </si>
  <si>
    <t>備考；評価建物のレベル
（用途①、②、③の床面積按分）</t>
    <rPh sb="0" eb="2">
      <t>ビコウ</t>
    </rPh>
    <rPh sb="3" eb="5">
      <t>ヒョウカ</t>
    </rPh>
    <rPh sb="5" eb="7">
      <t>タテモノ</t>
    </rPh>
    <rPh sb="21" eb="24">
      <t>ユカメンセキ</t>
    </rPh>
    <rPh sb="24" eb="26">
      <t>アンブン</t>
    </rPh>
    <phoneticPr fontId="22"/>
  </si>
  <si>
    <t>2)　建物緑化指数が、5％以上20％未満を示す規模の建築物の緑化を行っている。 (1ポイント)</t>
    <phoneticPr fontId="22"/>
  </si>
  <si>
    <t>1) 敷地とその周辺にある生物環境に関する立地特性を把握し、その特性に基づいて敷地内の生物環境の保全と創出に関わる計画方針を示している。</t>
    <rPh sb="15" eb="17">
      <t>カンキョウ</t>
    </rPh>
    <phoneticPr fontId="22"/>
  </si>
  <si>
    <t>1) 敷地内にある生物資源を構成する動植物、表土、水辺等を保存または復元している。</t>
    <phoneticPr fontId="22"/>
  </si>
  <si>
    <t>1) 外構緑化指数が、10％以上20％未満を示す規模の外構緑化を行い、なおかつ中高木を植栽している。 (1ポイント)</t>
    <phoneticPr fontId="22"/>
  </si>
  <si>
    <t>　外構緑化指数が、20％以上50％未満を示す規模の外構緑化を行っている。(2ポイント)</t>
    <phoneticPr fontId="22"/>
  </si>
  <si>
    <t>1) 建物運用時における緑地等の維持管理に必要な設備を設置し、かつ管理方針を示している。</t>
    <phoneticPr fontId="22"/>
  </si>
  <si>
    <t>2) 建物利用者や地域住民が生物とふれあい自然に親しめる環境や施設等を確保している。</t>
    <phoneticPr fontId="22"/>
  </si>
  <si>
    <t>1) 敷地周辺の風の状況を把握し、敷地内の歩行者空間等へ風を導く建築物の配置・形状計画とする</t>
    <phoneticPr fontId="22"/>
  </si>
  <si>
    <t>2) 芝生・草地・低木等の緑地や通路等の空地を設けることにより、風の通り道を確保する。</t>
    <phoneticPr fontId="22"/>
  </si>
  <si>
    <t>1) 中・高木の植栽やピロティ、庇、パーゴラ等を設けることにより、日陰の形成に努める。</t>
    <phoneticPr fontId="22"/>
  </si>
  <si>
    <t>1) 緑地や水面を確保することにより、地表面温度や地表面近傍の気温等の上昇を抑制する。</t>
    <phoneticPr fontId="22"/>
  </si>
  <si>
    <t>2) 敷地内の舗装面積を小さくするよう努める。</t>
    <phoneticPr fontId="22"/>
  </si>
  <si>
    <t>1) 屋上(人工地盤を含む)のうち、人が出入りできる部分の緑化に努める。</t>
    <phoneticPr fontId="22"/>
  </si>
  <si>
    <t>2) 外壁面の材料に配慮する。</t>
    <phoneticPr fontId="22"/>
  </si>
  <si>
    <t>1) 主たる建築設備(空調設備)に伴う排熱は、建築物の高い位置からの放出に努める。
   ・排熱を伴う冷却塔や室外機等について、設備容量の50％程度以上をGL＋10m以上
     の位置に設置 (1ポイント)
   ・冷却塔や室外機を設置しない、またはほとんどをGL＋10m以上の位置に設置 
     (2ポイント)</t>
    <rPh sb="64" eb="66">
      <t>セツビ</t>
    </rPh>
    <rPh sb="66" eb="68">
      <t>ヨウリョウ</t>
    </rPh>
    <rPh sb="72" eb="74">
      <t>テイド</t>
    </rPh>
    <rPh sb="74" eb="76">
      <t>イジョウ</t>
    </rPh>
    <rPh sb="83" eb="85">
      <t>イジョウ</t>
    </rPh>
    <rPh sb="92" eb="94">
      <t>イチ</t>
    </rPh>
    <rPh sb="95" eb="97">
      <t>セッチ</t>
    </rPh>
    <rPh sb="110" eb="112">
      <t>レイキャク</t>
    </rPh>
    <rPh sb="112" eb="113">
      <t>トウ</t>
    </rPh>
    <rPh sb="114" eb="117">
      <t>シツガイキ</t>
    </rPh>
    <rPh sb="118" eb="120">
      <t>セッチ</t>
    </rPh>
    <rPh sb="138" eb="140">
      <t>イジョウ</t>
    </rPh>
    <rPh sb="141" eb="143">
      <t>イチ</t>
    </rPh>
    <rPh sb="144" eb="146">
      <t>セッチ</t>
    </rPh>
    <phoneticPr fontId="22"/>
  </si>
  <si>
    <t>2) 主たる建築設備(燃焼設備)に伴う高温排熱は、建築物の高い位置からの放出に努める。
    ・高温排熱の放出部について、設備容量の50％程度以上をGL＋10m以上
      の位置に設置 (1ポイント)
    ・高温排熱の放出部を設置しない、またはほとんどをGL＋10m以上の位置に設置
      (2ポイント)</t>
    <rPh sb="62" eb="64">
      <t>セツビ</t>
    </rPh>
    <rPh sb="64" eb="66">
      <t>ヨウリョウ</t>
    </rPh>
    <rPh sb="70" eb="72">
      <t>テイド</t>
    </rPh>
    <rPh sb="72" eb="74">
      <t>イジョウ</t>
    </rPh>
    <rPh sb="81" eb="83">
      <t>イジョウ</t>
    </rPh>
    <rPh sb="91" eb="93">
      <t>イチ</t>
    </rPh>
    <rPh sb="94" eb="96">
      <t>セッチ</t>
    </rPh>
    <rPh sb="110" eb="112">
      <t>コウオン</t>
    </rPh>
    <rPh sb="112" eb="114">
      <t>ハイネツ</t>
    </rPh>
    <rPh sb="115" eb="117">
      <t>ホウシュツ</t>
    </rPh>
    <rPh sb="117" eb="118">
      <t>ブ</t>
    </rPh>
    <rPh sb="119" eb="121">
      <t>セッチ</t>
    </rPh>
    <rPh sb="139" eb="141">
      <t>イジョウ</t>
    </rPh>
    <rPh sb="142" eb="144">
      <t>イチ</t>
    </rPh>
    <rPh sb="145" eb="147">
      <t>セッチ</t>
    </rPh>
    <phoneticPr fontId="22"/>
  </si>
  <si>
    <t xml:space="preserve">取組数 </t>
    <rPh sb="0" eb="2">
      <t>トリクミ</t>
    </rPh>
    <rPh sb="2" eb="3">
      <t>スウ</t>
    </rPh>
    <phoneticPr fontId="22"/>
  </si>
  <si>
    <t>延床面積500㎡未満の建築物は
レベル3とする。
注）500㎡未満の建物は直接入力により、レベル３を選択してください。</t>
    <rPh sb="0" eb="2">
      <t>ノベユカ</t>
    </rPh>
    <rPh sb="2" eb="4">
      <t>メンセキ</t>
    </rPh>
    <rPh sb="8" eb="10">
      <t>ミマン</t>
    </rPh>
    <rPh sb="26" eb="27">
      <t>チュウ</t>
    </rPh>
    <phoneticPr fontId="22"/>
  </si>
  <si>
    <t>ポイント</t>
    <phoneticPr fontId="22"/>
  </si>
  <si>
    <t>空調CO2制御効果、換気CO2制御効果、ﾀｽｸｱﾝﾋﾞｴﾝﾄ空調効果、ﾀｽｸｱﾝﾋﾞｴﾝﾄ照明効果など</t>
    <phoneticPr fontId="22"/>
  </si>
  <si>
    <t>しない</t>
    <phoneticPr fontId="22"/>
  </si>
  <si>
    <t>しない</t>
    <phoneticPr fontId="22"/>
  </si>
  <si>
    <t>の双方を満たす場合は「レベル３」とする。　上記を満たさない場合は、「レベル１」とする。</t>
    <rPh sb="21" eb="23">
      <t>ジョウキ</t>
    </rPh>
    <rPh sb="24" eb="25">
      <t>ミ</t>
    </rPh>
    <rPh sb="29" eb="31">
      <t>バアイ</t>
    </rPh>
    <phoneticPr fontId="22"/>
  </si>
  <si>
    <t>告示266号）」に定められる「外壁、窓等を通しての熱の損失の防止に関する基準」および「一次エネルギー消費量に関する基準」</t>
    <phoneticPr fontId="22"/>
  </si>
  <si>
    <t>「住宅部分の外壁、窓等を通しての熱の損失の防止に関する基準及び一次エネルギー消費量に関する基準（平成28年国土交通省</t>
    <phoneticPr fontId="22"/>
  </si>
  <si>
    <t>&lt;運用期間が1年未満の場合&gt;</t>
    <phoneticPr fontId="22"/>
  </si>
  <si>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年未満の場合、直接入力により対象外を選択します。</t>
    </r>
    <rPh sb="15" eb="17">
      <t>チョクセツ</t>
    </rPh>
    <rPh sb="17" eb="19">
      <t>ニュウリョク</t>
    </rPh>
    <rPh sb="22" eb="24">
      <t>タイショウ</t>
    </rPh>
    <rPh sb="24" eb="25">
      <t>ガイ</t>
    </rPh>
    <rPh sb="26" eb="28">
      <t>センタク</t>
    </rPh>
    <phoneticPr fontId="22"/>
  </si>
  <si>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t>
    </r>
    <r>
      <rPr>
        <sz val="10"/>
        <color rgb="FFFF0000"/>
        <rFont val="Arial"/>
        <family val="2"/>
      </rPr>
      <t>[BEI][BEIm]</t>
    </r>
    <r>
      <rPr>
        <sz val="10"/>
        <color rgb="FFFF0000"/>
        <rFont val="ＭＳ Ｐゴシック"/>
        <family val="3"/>
        <charset val="128"/>
      </rPr>
      <t>を</t>
    </r>
    <r>
      <rPr>
        <sz val="10"/>
        <color rgb="FFFF0000"/>
        <rFont val="Arial"/>
        <family val="2"/>
      </rPr>
      <t>[BEI</t>
    </r>
    <r>
      <rPr>
        <vertAlign val="superscript"/>
        <sz val="10"/>
        <color rgb="FFFF0000"/>
        <rFont val="Arial"/>
        <family val="2"/>
      </rPr>
      <t>TC</t>
    </r>
    <r>
      <rPr>
        <sz val="10"/>
        <color rgb="FFFF0000"/>
        <rFont val="Arial"/>
        <family val="2"/>
      </rPr>
      <t>]</t>
    </r>
    <r>
      <rPr>
        <sz val="10"/>
        <color rgb="FFFF0000"/>
        <rFont val="ＭＳ Ｐゴシック"/>
        <family val="3"/>
        <charset val="128"/>
      </rPr>
      <t>と読み替えて評価します。</t>
    </r>
    <rPh sb="35" eb="36">
      <t>ヨ</t>
    </rPh>
    <rPh sb="37" eb="38">
      <t>カ</t>
    </rPh>
    <rPh sb="40" eb="42">
      <t>ヒョウカ</t>
    </rPh>
    <phoneticPr fontId="22"/>
  </si>
  <si>
    <r>
      <t>　期間積算の基準一次エネルギー消費量に対する設計一次エネルギー消費量の比率 [BEI</t>
    </r>
    <r>
      <rPr>
        <vertAlign val="superscript"/>
        <sz val="9"/>
        <color rgb="FFFF0000"/>
        <rFont val="ＭＳ Ｐゴシック"/>
        <family val="3"/>
        <charset val="128"/>
      </rPr>
      <t>TC</t>
    </r>
    <r>
      <rPr>
        <sz val="9"/>
        <color rgb="FFFF0000"/>
        <rFont val="ＭＳ Ｐゴシック"/>
        <family val="3"/>
        <charset val="128"/>
      </rPr>
      <t>] を[BEI]欄に入力</t>
    </r>
    <rPh sb="52" eb="53">
      <t>ラン</t>
    </rPh>
    <phoneticPr fontId="22"/>
  </si>
  <si>
    <t>8)その他（記述）</t>
    <rPh sb="4" eb="5">
      <t>ホカ</t>
    </rPh>
    <rPh sb="6" eb="8">
      <t>キジュツ</t>
    </rPh>
    <phoneticPr fontId="22"/>
  </si>
  <si>
    <t>する</t>
    <phoneticPr fontId="22"/>
  </si>
  <si>
    <t>耐震･免震・制震・制振</t>
    <rPh sb="0" eb="2">
      <t>タイシン</t>
    </rPh>
    <rPh sb="3" eb="5">
      <t>メンシン</t>
    </rPh>
    <rPh sb="6" eb="8">
      <t>セイシン</t>
    </rPh>
    <rPh sb="9" eb="11">
      <t>セイシン</t>
    </rPh>
    <phoneticPr fontId="22"/>
  </si>
  <si>
    <t>免震・制震・制振性能</t>
    <rPh sb="8" eb="10">
      <t>セイノウ</t>
    </rPh>
    <phoneticPr fontId="22"/>
  </si>
  <si>
    <t>免震・制震・制振性能</t>
    <rPh sb="0" eb="2">
      <t>メンシン</t>
    </rPh>
    <rPh sb="3" eb="5">
      <t>セイシン</t>
    </rPh>
    <rPh sb="6" eb="8">
      <t>セイシン</t>
    </rPh>
    <rPh sb="8" eb="10">
      <t>セイノウ</t>
    </rPh>
    <phoneticPr fontId="22"/>
  </si>
  <si>
    <t>耐震性(建物のこわれにくさ)</t>
    <rPh sb="0" eb="3">
      <t>タイシンセイ</t>
    </rPh>
    <rPh sb="4" eb="6">
      <t>タテモノ</t>
    </rPh>
    <phoneticPr fontId="22"/>
  </si>
  <si>
    <t>「家庭部門エネルギー種別最終エネルギー消費（平成25年度におけるエネルギー需給実績、資源エネルギー庁）」</t>
    <phoneticPr fontId="22"/>
  </si>
  <si>
    <t>工場については、統計値がないため、H28国交省告示第265号による事務所の照明エネルギー消費量としている。</t>
    <rPh sb="0" eb="2">
      <t>コウジョウ</t>
    </rPh>
    <rPh sb="8" eb="10">
      <t>トウケイ</t>
    </rPh>
    <rPh sb="10" eb="11">
      <t>チ</t>
    </rPh>
    <rPh sb="20" eb="23">
      <t>コッコウショウ</t>
    </rPh>
    <rPh sb="23" eb="25">
      <t>コクジ</t>
    </rPh>
    <rPh sb="25" eb="26">
      <t>ダイ</t>
    </rPh>
    <rPh sb="29" eb="30">
      <t>ゴウ</t>
    </rPh>
    <rPh sb="33" eb="35">
      <t>ジム</t>
    </rPh>
    <rPh sb="35" eb="36">
      <t>ショ</t>
    </rPh>
    <rPh sb="37" eb="39">
      <t>ショウメイ</t>
    </rPh>
    <rPh sb="44" eb="47">
      <t>ショウヒリョウ</t>
    </rPh>
    <phoneticPr fontId="22"/>
  </si>
  <si>
    <t>ポイント</t>
    <phoneticPr fontId="22"/>
  </si>
  <si>
    <t>窓システム、外壁、屋根や床（特にピロティ）において熱の侵入に対して配慮が無く、断熱性能が低い。
（窓システムSC：0.7程度、U=6.0(W/m2K)程度、外壁その他：U=3.0(W/m2K)程度）</t>
    <phoneticPr fontId="22"/>
  </si>
  <si>
    <t>日本住宅性能表示基準「5-1断熱等性能等級」における等級１相当である。</t>
    <rPh sb="14" eb="16">
      <t>ダンネツ</t>
    </rPh>
    <rPh sb="16" eb="17">
      <t>トウ</t>
    </rPh>
    <rPh sb="17" eb="19">
      <t>セイノウ</t>
    </rPh>
    <rPh sb="29" eb="31">
      <t>ソウトウ</t>
    </rPh>
    <phoneticPr fontId="22"/>
  </si>
  <si>
    <t>日本住宅性能表示基準「5-1断熱等性能等級」における等級２相当である。</t>
    <rPh sb="29" eb="31">
      <t>ソウトウ</t>
    </rPh>
    <phoneticPr fontId="22"/>
  </si>
  <si>
    <t>日本住宅性能表示基準「5-1断熱等性能等級」における等級３相当である。</t>
    <rPh sb="29" eb="31">
      <t>ソウトウ</t>
    </rPh>
    <phoneticPr fontId="22"/>
  </si>
  <si>
    <t>日本住宅性能表示基準「5-1断熱等性能等級」における等級１相当である。</t>
    <rPh sb="14" eb="16">
      <t>ダンネツ</t>
    </rPh>
    <rPh sb="16" eb="17">
      <t>トウ</t>
    </rPh>
    <rPh sb="17" eb="19">
      <t>セイノウ</t>
    </rPh>
    <rPh sb="19" eb="21">
      <t>トウキュウ</t>
    </rPh>
    <rPh sb="29" eb="31">
      <t>ソウトウ</t>
    </rPh>
    <phoneticPr fontId="22"/>
  </si>
  <si>
    <t>日本住宅性能表示基準「5-1断熱等性能等級」における等級４相当である。</t>
    <rPh sb="29" eb="31">
      <t>ソウトウ</t>
    </rPh>
    <phoneticPr fontId="22"/>
  </si>
  <si>
    <t>レベル４を超える水準の断熱性能を満たす。※</t>
    <rPh sb="5" eb="6">
      <t>コ</t>
    </rPh>
    <rPh sb="8" eb="10">
      <t>スイジュン</t>
    </rPh>
    <rPh sb="11" eb="13">
      <t>ダンネツ</t>
    </rPh>
    <rPh sb="13" eb="15">
      <t>セイノウ</t>
    </rPh>
    <rPh sb="16" eb="17">
      <t>ミ</t>
    </rPh>
    <phoneticPr fontId="22"/>
  </si>
  <si>
    <t>※</t>
    <phoneticPr fontId="22"/>
  </si>
  <si>
    <t>タスク・アンビエント照明方式もしくはこれに準ずる照明方式の場合で、タスク照度が500lx以上1000lx未満、かつアンビエント照度がタスク照度の1/3以上2/3未満、かつ壁面の鉛直面照度が100lx以上で反射率が30％以上もしくは天井面の水平面照度が100lx以上で反射率が50％以下。</t>
    <rPh sb="102" eb="104">
      <t>ハンシャ</t>
    </rPh>
    <rPh sb="104" eb="105">
      <t>リツ</t>
    </rPh>
    <rPh sb="109" eb="111">
      <t>イジョウ</t>
    </rPh>
    <rPh sb="130" eb="132">
      <t>イジョウ</t>
    </rPh>
    <rPh sb="133" eb="135">
      <t>ハンシャ</t>
    </rPh>
    <rPh sb="135" eb="136">
      <t>リツ</t>
    </rPh>
    <rPh sb="140" eb="142">
      <t>イカ</t>
    </rPh>
    <phoneticPr fontId="22"/>
  </si>
  <si>
    <t>明るさや学習形態に応じた制御区画であり、在室者自らが点灯・消灯によって制御できる。</t>
    <phoneticPr fontId="22"/>
  </si>
  <si>
    <t>建築基準法（シックハウス対応含む）および学校環境衛生基準を満たす換気量となっている。</t>
    <rPh sb="20" eb="22">
      <t>ガッコウ</t>
    </rPh>
    <rPh sb="22" eb="24">
      <t>カンキョウ</t>
    </rPh>
    <rPh sb="24" eb="26">
      <t>エイセイ</t>
    </rPh>
    <rPh sb="26" eb="28">
      <t>キジュン</t>
    </rPh>
    <phoneticPr fontId="22"/>
  </si>
  <si>
    <t>建築基準法（シックハウス対応含む）および学校環境衛生基準を満たす換気量の1.2倍となっている。</t>
    <rPh sb="20" eb="22">
      <t>ガッコウ</t>
    </rPh>
    <rPh sb="22" eb="24">
      <t>カンキョウ</t>
    </rPh>
    <rPh sb="24" eb="26">
      <t>エイセイ</t>
    </rPh>
    <rPh sb="26" eb="28">
      <t>キジュン</t>
    </rPh>
    <phoneticPr fontId="22"/>
  </si>
  <si>
    <t>建築基準法（シックハウス対応含む）および学校環境衛生基準を満たす換気量の1.4倍となっている。</t>
    <rPh sb="20" eb="22">
      <t>ガッコウ</t>
    </rPh>
    <rPh sb="22" eb="24">
      <t>カンキョウ</t>
    </rPh>
    <rPh sb="24" eb="26">
      <t>エイセイ</t>
    </rPh>
    <rPh sb="26" eb="28">
      <t>キジュン</t>
    </rPh>
    <phoneticPr fontId="22"/>
  </si>
  <si>
    <r>
      <t xml:space="preserve">2.1.2 </t>
    </r>
    <r>
      <rPr>
        <b/>
        <sz val="10"/>
        <rFont val="ＭＳ Ｐゴシック"/>
        <family val="3"/>
        <charset val="128"/>
      </rPr>
      <t>免震・制震・制振性能（内部設備保護）</t>
    </r>
    <rPh sb="17" eb="19">
      <t>ナイブ</t>
    </rPh>
    <rPh sb="19" eb="21">
      <t>セツビ</t>
    </rPh>
    <rPh sb="21" eb="23">
      <t>ホゴ</t>
    </rPh>
    <phoneticPr fontId="22"/>
  </si>
  <si>
    <t>耐震クラスS（Aクラスに加え、大きな補修をすることなく全ての機能が確保できる。）または、動的解析を行った上で設計用水平震度KHを2.0以上としている。</t>
    <rPh sb="44" eb="46">
      <t>ドウテキ</t>
    </rPh>
    <rPh sb="46" eb="48">
      <t>カイセキ</t>
    </rPh>
    <rPh sb="49" eb="50">
      <t>オコナ</t>
    </rPh>
    <rPh sb="52" eb="53">
      <t>ウエ</t>
    </rPh>
    <rPh sb="54" eb="57">
      <t>セッケイヨウ</t>
    </rPh>
    <rPh sb="57" eb="59">
      <t>スイヘイ</t>
    </rPh>
    <rPh sb="59" eb="61">
      <t>シンド</t>
    </rPh>
    <rPh sb="67" eb="69">
      <t>イジョウ</t>
    </rPh>
    <phoneticPr fontId="22"/>
  </si>
  <si>
    <t>1) 我が国や地域の生態系に悪影響を及ぼす外来種に関し、適切な対応を行っている。</t>
    <rPh sb="3" eb="4">
      <t>ワ</t>
    </rPh>
    <rPh sb="5" eb="6">
      <t>クニ</t>
    </rPh>
    <rPh sb="7" eb="9">
      <t>チイキ</t>
    </rPh>
    <rPh sb="10" eb="13">
      <t>セイタイケイ</t>
    </rPh>
    <rPh sb="14" eb="17">
      <t>アクエイキョウ</t>
    </rPh>
    <rPh sb="18" eb="19">
      <t>オヨ</t>
    </rPh>
    <rPh sb="21" eb="23">
      <t>ガイライ</t>
    </rPh>
    <rPh sb="23" eb="24">
      <t>シュ</t>
    </rPh>
    <rPh sb="25" eb="26">
      <t>カン</t>
    </rPh>
    <rPh sb="28" eb="30">
      <t>テキセツ</t>
    </rPh>
    <rPh sb="31" eb="33">
      <t>タイオウ</t>
    </rPh>
    <rPh sb="34" eb="35">
      <t>オコナ</t>
    </rPh>
    <phoneticPr fontId="22"/>
  </si>
  <si>
    <t>2) 自生種の保全に配慮した緑地づくりを行っている。</t>
    <phoneticPr fontId="22"/>
  </si>
  <si>
    <t>3) 敷地や建物の植栽条件に応じた適切な緑地づくりを行っている。</t>
    <phoneticPr fontId="22"/>
  </si>
  <si>
    <t>4) 野生小動物の生息域の確保に配慮した緑地づくりを行っている。</t>
    <phoneticPr fontId="22"/>
  </si>
  <si>
    <t>1) 上記の評価項目以外に生物環境の保全と創出に資する独自の取り組みを行っている。（記述）</t>
    <rPh sb="15" eb="17">
      <t>カンキョウ</t>
    </rPh>
    <rPh sb="42" eb="44">
      <t>キジュツ</t>
    </rPh>
    <phoneticPr fontId="22"/>
  </si>
  <si>
    <t>I 地域固有の風土、
歴史、文化の継承</t>
    <phoneticPr fontId="22"/>
  </si>
  <si>
    <t>II 空間・施設機能の提供
による地域貢献</t>
    <phoneticPr fontId="22"/>
  </si>
  <si>
    <t>III 建物内外を連関させる
豊かな中間領域の形成</t>
    <phoneticPr fontId="22"/>
  </si>
  <si>
    <t>日本住宅性能表示基準「5-1断熱等性能等級」における等級４相当である。</t>
    <rPh sb="29" eb="31">
      <t>ソウトウ</t>
    </rPh>
    <phoneticPr fontId="22"/>
  </si>
  <si>
    <r>
      <t>主要構造躯体のコンクリート基準強度Fc及び主筋鉄筋の基準強度F
（単位:N/mm</t>
    </r>
    <r>
      <rPr>
        <vertAlign val="superscript"/>
        <sz val="9"/>
        <rFont val="ＭＳ Ｐゴシック"/>
        <family val="3"/>
        <charset val="128"/>
      </rPr>
      <t>2</t>
    </r>
    <r>
      <rPr>
        <sz val="9"/>
        <rFont val="ＭＳ Ｐゴシック"/>
        <family val="3"/>
        <charset val="128"/>
      </rPr>
      <t>）</t>
    </r>
    <rPh sb="13" eb="15">
      <t>キジュン</t>
    </rPh>
    <rPh sb="26" eb="28">
      <t>キジュン</t>
    </rPh>
    <rPh sb="33" eb="35">
      <t>タンイ</t>
    </rPh>
    <phoneticPr fontId="22"/>
  </si>
  <si>
    <t>主要構造躯体の鉄骨の基準強度F
（単位:N/mm2）</t>
    <rPh sb="10" eb="12">
      <t>キジュン</t>
    </rPh>
    <phoneticPr fontId="22"/>
  </si>
  <si>
    <t>I 温熱環境の事前調査</t>
    <phoneticPr fontId="22"/>
  </si>
  <si>
    <t>II 敷地外への熱的な影響を低減する対策</t>
    <phoneticPr fontId="22"/>
  </si>
  <si>
    <t>III 効果の確認</t>
    <phoneticPr fontId="22"/>
  </si>
  <si>
    <t>指導された規模の雨水流出抑制対策を実施している。</t>
    <rPh sb="8" eb="10">
      <t>ウスイ</t>
    </rPh>
    <phoneticPr fontId="22"/>
  </si>
  <si>
    <t>レベル３を満たし、かつそれ以上の雨水流出抑制対策等を実施しているが、レベル５を満たさない。</t>
    <rPh sb="5" eb="6">
      <t>ミ</t>
    </rPh>
    <rPh sb="13" eb="15">
      <t>イジョウ</t>
    </rPh>
    <rPh sb="16" eb="18">
      <t>ウスイ</t>
    </rPh>
    <rPh sb="18" eb="20">
      <t>リュウシュツ</t>
    </rPh>
    <rPh sb="20" eb="22">
      <t>ヨクセイ</t>
    </rPh>
    <rPh sb="22" eb="24">
      <t>タイサク</t>
    </rPh>
    <rPh sb="24" eb="25">
      <t>トウ</t>
    </rPh>
    <rPh sb="26" eb="28">
      <t>ジッシ</t>
    </rPh>
    <rPh sb="39" eb="40">
      <t>ミ</t>
    </rPh>
    <phoneticPr fontId="22"/>
  </si>
  <si>
    <t>雨水流出抑制対策等を実施しているが、レベル５を満たさない。</t>
    <rPh sb="0" eb="2">
      <t>ウスイ</t>
    </rPh>
    <rPh sb="2" eb="4">
      <t>リュウシュツ</t>
    </rPh>
    <rPh sb="4" eb="6">
      <t>ヨクセイ</t>
    </rPh>
    <rPh sb="6" eb="8">
      <t>タイサク</t>
    </rPh>
    <rPh sb="8" eb="9">
      <t>トウ</t>
    </rPh>
    <rPh sb="10" eb="12">
      <t>ジッシ</t>
    </rPh>
    <rPh sb="23" eb="24">
      <t>ミ</t>
    </rPh>
    <phoneticPr fontId="22"/>
  </si>
  <si>
    <t>雨水流出抑制対策等を実施していない。</t>
    <rPh sb="0" eb="2">
      <t>ウスイ</t>
    </rPh>
    <rPh sb="8" eb="9">
      <t>トウ</t>
    </rPh>
    <phoneticPr fontId="22"/>
  </si>
  <si>
    <t>レベル３を満たし、かつ「雨水活用技術規準」（日本建築学会）に示された「基本蓄雨高100㎜」に必要な蓄雨高を敷地内で確保している。</t>
    <rPh sb="5" eb="6">
      <t>ミ</t>
    </rPh>
    <rPh sb="12" eb="14">
      <t>ウスイ</t>
    </rPh>
    <rPh sb="14" eb="16">
      <t>カツヨウ</t>
    </rPh>
    <rPh sb="16" eb="18">
      <t>ギジュツ</t>
    </rPh>
    <rPh sb="18" eb="20">
      <t>キジュン</t>
    </rPh>
    <rPh sb="22" eb="24">
      <t>ニホン</t>
    </rPh>
    <rPh sb="24" eb="26">
      <t>ケンチク</t>
    </rPh>
    <rPh sb="26" eb="28">
      <t>ガッカイ</t>
    </rPh>
    <rPh sb="30" eb="31">
      <t>シメ</t>
    </rPh>
    <rPh sb="35" eb="37">
      <t>キホン</t>
    </rPh>
    <rPh sb="37" eb="38">
      <t>チク</t>
    </rPh>
    <rPh sb="38" eb="39">
      <t>アメ</t>
    </rPh>
    <rPh sb="39" eb="40">
      <t>タカ</t>
    </rPh>
    <rPh sb="46" eb="48">
      <t>ヒツヨウ</t>
    </rPh>
    <rPh sb="49" eb="50">
      <t>チク</t>
    </rPh>
    <rPh sb="50" eb="51">
      <t>アメ</t>
    </rPh>
    <rPh sb="51" eb="52">
      <t>タカ</t>
    </rPh>
    <rPh sb="53" eb="55">
      <t>シキチ</t>
    </rPh>
    <rPh sb="55" eb="56">
      <t>ナイ</t>
    </rPh>
    <rPh sb="57" eb="59">
      <t>カクホ</t>
    </rPh>
    <phoneticPr fontId="22"/>
  </si>
  <si>
    <t>事・学・物・飲・会・病・ホ・工・住　&lt;行政指導がない場合&gt;</t>
    <phoneticPr fontId="22"/>
  </si>
  <si>
    <t>事・学・物・飲・会・病・ホ・工・住　&lt;行政指導がある場合&gt;</t>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</si>
  <si>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を上回っている</t>
    </r>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</si>
  <si>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以下に抑えられている</t>
    </r>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</si>
  <si>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より大幅</t>
    </r>
    <r>
      <rPr>
        <vertAlign val="superscript"/>
        <sz val="9"/>
        <rFont val="ＭＳ Ｐゴシック"/>
        <family val="3"/>
        <charset val="128"/>
      </rPr>
      <t>注*2</t>
    </r>
    <r>
      <rPr>
        <sz val="9"/>
        <rFont val="ＭＳ Ｐゴシック"/>
        <family val="3"/>
        <charset val="128"/>
      </rPr>
      <t>に抑えられている</t>
    </r>
    <rPh sb="0" eb="2">
      <t>ソウオン</t>
    </rPh>
    <rPh sb="2" eb="5">
      <t>キセイホウ</t>
    </rPh>
    <rPh sb="8" eb="11">
      <t>ダイキボ</t>
    </rPh>
    <rPh sb="11" eb="13">
      <t>コウリ</t>
    </rPh>
    <rPh sb="13" eb="15">
      <t>テンポ</t>
    </rPh>
    <rPh sb="15" eb="17">
      <t>リッチ</t>
    </rPh>
    <rPh sb="17" eb="18">
      <t>ホウ</t>
    </rPh>
    <rPh sb="19" eb="20">
      <t>サダ</t>
    </rPh>
    <rPh sb="22" eb="24">
      <t>ゲンコウ</t>
    </rPh>
    <rPh sb="25" eb="27">
      <t>キセイ</t>
    </rPh>
    <rPh sb="27" eb="29">
      <t>キジュン</t>
    </rPh>
    <rPh sb="29" eb="30">
      <t>チュウ</t>
    </rPh>
    <rPh sb="34" eb="36">
      <t>オオハバ</t>
    </rPh>
    <rPh sb="36" eb="37">
      <t>チュウ</t>
    </rPh>
    <rPh sb="40" eb="41">
      <t>オサ</t>
    </rPh>
    <phoneticPr fontId="22"/>
  </si>
  <si>
    <t>悪臭防止法ならびに地域の条例等に定める特定悪臭物質の濃度の許容限度及び臭気指数の許容限度を満たしている。</t>
    <rPh sb="9" eb="11">
      <t>チイキ</t>
    </rPh>
    <rPh sb="12" eb="14">
      <t>ジョウレイ</t>
    </rPh>
    <rPh sb="14" eb="15">
      <t>トウ</t>
    </rPh>
    <phoneticPr fontId="22"/>
  </si>
  <si>
    <t>悪臭防止法ならびに地域の条例等に定める現行の特定悪臭物質の濃度の許容限度及び臭気指数の許容限度を下回るレベルである。</t>
    <rPh sb="9" eb="11">
      <t>チイキ</t>
    </rPh>
    <rPh sb="12" eb="14">
      <t>ジョウレイ</t>
    </rPh>
    <rPh sb="14" eb="15">
      <t>トウ</t>
    </rPh>
    <phoneticPr fontId="22"/>
  </si>
  <si>
    <t>室内騒音レベル</t>
    <rPh sb="0" eb="2">
      <t>シツナイ</t>
    </rPh>
    <phoneticPr fontId="22"/>
  </si>
  <si>
    <t>室内騒音レベル</t>
    <rPh sb="0" eb="2">
      <t>シツナイ</t>
    </rPh>
    <phoneticPr fontId="22"/>
  </si>
  <si>
    <t>○○○</t>
    <phoneticPr fontId="22"/>
  </si>
  <si>
    <t xml:space="preserve">[BEI][BEIm] = </t>
    <phoneticPr fontId="22"/>
  </si>
  <si>
    <t>-</t>
    <phoneticPr fontId="22"/>
  </si>
  <si>
    <t>■ 評価の実施</t>
    <rPh sb="2" eb="4">
      <t>ヒョウカ</t>
    </rPh>
    <rPh sb="5" eb="7">
      <t>ジッシ</t>
    </rPh>
    <phoneticPr fontId="22"/>
  </si>
  <si>
    <t>■ 作成者</t>
    <rPh sb="2" eb="5">
      <t>サクセイシャ</t>
    </rPh>
    <phoneticPr fontId="22"/>
  </si>
  <si>
    <t>■ 確認日</t>
    <rPh sb="2" eb="4">
      <t>カクニン</t>
    </rPh>
    <rPh sb="4" eb="5">
      <t>ビ</t>
    </rPh>
    <phoneticPr fontId="22"/>
  </si>
  <si>
    <t>■ 確認者</t>
    <rPh sb="2" eb="4">
      <t>カクニン</t>
    </rPh>
    <rPh sb="4" eb="5">
      <t>シャ</t>
    </rPh>
    <phoneticPr fontId="22"/>
  </si>
  <si>
    <t>■LCCO2の計算</t>
    <rPh sb="7" eb="9">
      <t>ケイサン</t>
    </rPh>
    <phoneticPr fontId="22"/>
  </si>
  <si>
    <t>■ 建物名称</t>
    <rPh sb="2" eb="4">
      <t>ﾀﾃﾓﾉ</t>
    </rPh>
    <rPh sb="4" eb="6">
      <t>ﾒｲｼｮｳ</t>
    </rPh>
    <phoneticPr fontId="35" type="noConversion"/>
  </si>
  <si>
    <t>■ 建設地・地域区分</t>
    <rPh sb="2" eb="5">
      <t>ｹﾝｾﾂﾁ</t>
    </rPh>
    <rPh sb="6" eb="8">
      <t>ちいき</t>
    </rPh>
    <rPh sb="8" eb="10">
      <t>ｸﾌﾞﾝ</t>
    </rPh>
    <phoneticPr fontId="35" type="noConversion"/>
  </si>
  <si>
    <t>■ 竣工年 (予定/竣工)</t>
    <rPh sb="2" eb="4">
      <t>ｼｭﾝｺｳ</t>
    </rPh>
    <rPh sb="4" eb="5">
      <t>ﾈﾝ</t>
    </rPh>
    <rPh sb="7" eb="9">
      <t>ﾖﾃｲ</t>
    </rPh>
    <rPh sb="10" eb="12">
      <t>ｼｭﾝｺｳ</t>
    </rPh>
    <phoneticPr fontId="35" type="noConversion"/>
  </si>
  <si>
    <t>■ 地域・地区</t>
    <rPh sb="2" eb="4">
      <t>ﾁｲｷ</t>
    </rPh>
    <rPh sb="5" eb="7">
      <t>ﾁｸ</t>
    </rPh>
    <phoneticPr fontId="35" type="noConversion"/>
  </si>
  <si>
    <t>■ 敷地面積</t>
    <rPh sb="2" eb="4">
      <t>ｼｷﾁ</t>
    </rPh>
    <rPh sb="4" eb="6">
      <t>ﾒﾝｾｷ</t>
    </rPh>
    <phoneticPr fontId="35" type="noConversion"/>
  </si>
  <si>
    <t>■ 建築面積</t>
    <rPh sb="2" eb="4">
      <t>ｹﾝﾁｸ</t>
    </rPh>
    <rPh sb="4" eb="6">
      <t>ﾒﾝｾｷ</t>
    </rPh>
    <phoneticPr fontId="35" type="noConversion"/>
  </si>
  <si>
    <t>■ 建物用途名</t>
    <rPh sb="2" eb="4">
      <t>タテモノ</t>
    </rPh>
    <rPh sb="4" eb="6">
      <t>ヨウト</t>
    </rPh>
    <rPh sb="6" eb="7">
      <t>メイ</t>
    </rPh>
    <phoneticPr fontId="22"/>
  </si>
  <si>
    <t>■ 延床面積</t>
    <rPh sb="2" eb="3">
      <t>ﾉ</t>
    </rPh>
    <rPh sb="3" eb="6">
      <t>ﾕｶﾒﾝｾｷ</t>
    </rPh>
    <phoneticPr fontId="35" type="noConversion"/>
  </si>
  <si>
    <t>■ 構造</t>
    <rPh sb="2" eb="4">
      <t>コウゾウ</t>
    </rPh>
    <phoneticPr fontId="22"/>
  </si>
  <si>
    <t>■ 階数</t>
    <rPh sb="2" eb="4">
      <t>カイスウ</t>
    </rPh>
    <phoneticPr fontId="22"/>
  </si>
  <si>
    <t>■ 平均居住人員</t>
    <rPh sb="2" eb="4">
      <t>ﾍｲｷﾝ</t>
    </rPh>
    <rPh sb="4" eb="6">
      <t>ｷｮｼﾞｭｳ</t>
    </rPh>
    <rPh sb="6" eb="8">
      <t>ｼﾞﾝｲﾝ</t>
    </rPh>
    <phoneticPr fontId="35" type="noConversion"/>
  </si>
  <si>
    <t>■ 年間使用時間</t>
    <rPh sb="2" eb="4">
      <t>ﾈﾝｶﾝ</t>
    </rPh>
    <rPh sb="4" eb="6">
      <t>ｼﾖｳ</t>
    </rPh>
    <rPh sb="6" eb="8">
      <t>ｼﾞｶﾝ</t>
    </rPh>
    <phoneticPr fontId="35" type="noConversion"/>
  </si>
  <si>
    <t>■ 日平均使用時間</t>
    <rPh sb="2" eb="3">
      <t>ﾋ</t>
    </rPh>
    <rPh sb="3" eb="5">
      <t>ﾍｲｷﾝ</t>
    </rPh>
    <rPh sb="5" eb="7">
      <t>ｼﾖｳ</t>
    </rPh>
    <rPh sb="7" eb="9">
      <t>ｼﾞｶﾝ</t>
    </rPh>
    <phoneticPr fontId="35" type="noConversion"/>
  </si>
  <si>
    <t>IS</t>
    <phoneticPr fontId="22"/>
  </si>
  <si>
    <t>インテリア</t>
    <phoneticPr fontId="22"/>
  </si>
  <si>
    <r>
      <t>CASBEE-短期使用</t>
    </r>
    <r>
      <rPr>
        <sz val="9"/>
        <rFont val="Arial"/>
        <family val="2"/>
      </rPr>
      <t>2016</t>
    </r>
    <r>
      <rPr>
        <sz val="9"/>
        <rFont val="ＭＳ Ｐゴシック"/>
        <family val="3"/>
        <charset val="128"/>
      </rPr>
      <t>年版</t>
    </r>
    <rPh sb="7" eb="9">
      <t>タンキ</t>
    </rPh>
    <rPh sb="9" eb="11">
      <t>シヨウ</t>
    </rPh>
    <rPh sb="15" eb="16">
      <t>ネン</t>
    </rPh>
    <rPh sb="16" eb="17">
      <t>バン</t>
    </rPh>
    <phoneticPr fontId="22"/>
  </si>
  <si>
    <r>
      <t>CASBEE-</t>
    </r>
    <r>
      <rPr>
        <sz val="9"/>
        <rFont val="ＭＳ Ｐゴシック"/>
        <family val="3"/>
        <charset val="128"/>
      </rPr>
      <t>建築</t>
    </r>
    <r>
      <rPr>
        <sz val="9"/>
        <rFont val="Arial"/>
        <family val="2"/>
      </rPr>
      <t>(</t>
    </r>
    <r>
      <rPr>
        <sz val="9"/>
        <rFont val="ＭＳ Ｐゴシック"/>
        <family val="3"/>
        <charset val="128"/>
      </rPr>
      <t>既存</t>
    </r>
    <r>
      <rPr>
        <sz val="9"/>
        <rFont val="Arial"/>
        <family val="2"/>
      </rPr>
      <t>)2016</t>
    </r>
    <r>
      <rPr>
        <sz val="9"/>
        <rFont val="ＭＳ Ｐゴシック"/>
        <family val="3"/>
        <charset val="128"/>
      </rPr>
      <t>年版</t>
    </r>
    <rPh sb="7" eb="9">
      <t>ケンチク</t>
    </rPh>
    <rPh sb="10" eb="12">
      <t>キゾン</t>
    </rPh>
    <rPh sb="17" eb="18">
      <t>ネン</t>
    </rPh>
    <rPh sb="18" eb="19">
      <t>バン</t>
    </rPh>
    <phoneticPr fontId="22"/>
  </si>
  <si>
    <r>
      <t>CASBEE-</t>
    </r>
    <r>
      <rPr>
        <sz val="9"/>
        <rFont val="ＭＳ Ｐゴシック"/>
        <family val="3"/>
        <charset val="128"/>
      </rPr>
      <t>ｲﾝﾃﾘｱｽﾍﾟｰｽ</t>
    </r>
    <r>
      <rPr>
        <sz val="9"/>
        <rFont val="Arial"/>
        <family val="2"/>
      </rPr>
      <t>2016</t>
    </r>
    <r>
      <rPr>
        <sz val="9"/>
        <rFont val="ＭＳ Ｐゴシック"/>
        <family val="3"/>
        <charset val="128"/>
      </rPr>
      <t>年版</t>
    </r>
    <rPh sb="21" eb="22">
      <t>ネン</t>
    </rPh>
    <rPh sb="22" eb="23">
      <t>バン</t>
    </rPh>
    <phoneticPr fontId="22"/>
  </si>
  <si>
    <t>② 評価対象概要</t>
    <rPh sb="2" eb="4">
      <t>ヒョウカ</t>
    </rPh>
    <rPh sb="4" eb="6">
      <t>タイショウ</t>
    </rPh>
    <rPh sb="6" eb="8">
      <t>ガイヨウ</t>
    </rPh>
    <phoneticPr fontId="22"/>
  </si>
  <si>
    <t>○○サービス</t>
    <phoneticPr fontId="22"/>
  </si>
  <si>
    <t>○○</t>
    <phoneticPr fontId="22"/>
  </si>
  <si>
    <t>XXX</t>
    <phoneticPr fontId="22"/>
  </si>
  <si>
    <t>地上○○F～○○F</t>
    <rPh sb="0" eb="2">
      <t>チジョウ</t>
    </rPh>
    <phoneticPr fontId="22"/>
  </si>
  <si>
    <t>■ 評価対象名称</t>
    <rPh sb="2" eb="4">
      <t>ﾋｮｳｶ</t>
    </rPh>
    <rPh sb="4" eb="6">
      <t>ﾀｲｼｮｳ</t>
    </rPh>
    <rPh sb="6" eb="8">
      <t>ﾒｲｼｮｳ</t>
    </rPh>
    <phoneticPr fontId="35" type="noConversion"/>
  </si>
  <si>
    <t>■ 評価対象用途</t>
    <rPh sb="2" eb="4">
      <t>ﾋｮｳｶ</t>
    </rPh>
    <rPh sb="4" eb="6">
      <t>ﾀｲｼｮｳ</t>
    </rPh>
    <rPh sb="6" eb="8">
      <t>ﾖｳﾄ</t>
    </rPh>
    <phoneticPr fontId="35" type="noConversion"/>
  </si>
  <si>
    <t>■ 使用開始</t>
    <rPh sb="2" eb="4">
      <t>ｼﾖｳ</t>
    </rPh>
    <rPh sb="4" eb="6">
      <t>ｶｲｼ</t>
    </rPh>
    <phoneticPr fontId="35" type="noConversion"/>
  </si>
  <si>
    <t>■ 専用面積</t>
    <rPh sb="2" eb="4">
      <t>ｾﾝﾖｳ</t>
    </rPh>
    <rPh sb="4" eb="6">
      <t>ﾒﾝｾｷ</t>
    </rPh>
    <phoneticPr fontId="35" type="noConversion"/>
  </si>
  <si>
    <t>■ 専用部の階</t>
    <rPh sb="2" eb="4">
      <t>ｾﾝﾖｳ</t>
    </rPh>
    <rPh sb="4" eb="5">
      <t>ﾌﾞ</t>
    </rPh>
    <rPh sb="6" eb="7">
      <t>ｶｲ</t>
    </rPh>
    <phoneticPr fontId="35" type="noConversion"/>
  </si>
  <si>
    <r>
      <t>1-2</t>
    </r>
    <r>
      <rPr>
        <b/>
        <sz val="12"/>
        <color indexed="9"/>
        <rFont val="ＭＳ Ｐゴシック"/>
        <family val="3"/>
        <charset val="128"/>
      </rPr>
      <t>　評価対象概要</t>
    </r>
    <rPh sb="4" eb="6">
      <t>ヒョウカ</t>
    </rPh>
    <rPh sb="6" eb="8">
      <t>タイショウ</t>
    </rPh>
    <rPh sb="8" eb="10">
      <t>ガイヨウ</t>
    </rPh>
    <phoneticPr fontId="22"/>
  </si>
  <si>
    <t>評価対象名称</t>
    <rPh sb="0" eb="2">
      <t>ヒョウカ</t>
    </rPh>
    <rPh sb="2" eb="4">
      <t>タイショウ</t>
    </rPh>
    <rPh sb="4" eb="6">
      <t>メイショウ</t>
    </rPh>
    <phoneticPr fontId="22"/>
  </si>
  <si>
    <t>評価対象用途</t>
    <rPh sb="0" eb="2">
      <t>ﾋｮｳｶ</t>
    </rPh>
    <rPh sb="2" eb="4">
      <t>ﾀｲｼｮｳ</t>
    </rPh>
    <rPh sb="4" eb="6">
      <t>ﾖｳﾄ</t>
    </rPh>
    <phoneticPr fontId="35" type="noConversion"/>
  </si>
  <si>
    <t>使用開始</t>
    <rPh sb="0" eb="2">
      <t>シヨウ</t>
    </rPh>
    <rPh sb="2" eb="4">
      <t>カイシ</t>
    </rPh>
    <phoneticPr fontId="22"/>
  </si>
  <si>
    <t>専用面積</t>
    <rPh sb="0" eb="2">
      <t>センヨウ</t>
    </rPh>
    <rPh sb="2" eb="4">
      <t>メンセキ</t>
    </rPh>
    <phoneticPr fontId="22"/>
  </si>
  <si>
    <t>専用部の階</t>
    <rPh sb="0" eb="2">
      <t>センヨウ</t>
    </rPh>
    <rPh sb="2" eb="3">
      <t>ブ</t>
    </rPh>
    <rPh sb="4" eb="5">
      <t>カイ</t>
    </rPh>
    <phoneticPr fontId="22"/>
  </si>
  <si>
    <t>㎡</t>
    <phoneticPr fontId="35" type="noConversion"/>
  </si>
  <si>
    <r>
      <t>1-3</t>
    </r>
    <r>
      <rPr>
        <b/>
        <sz val="12"/>
        <color indexed="9"/>
        <rFont val="ＭＳ Ｐゴシック"/>
        <family val="3"/>
        <charset val="128"/>
      </rPr>
      <t>　外観</t>
    </r>
    <rPh sb="4" eb="6">
      <t>ガイカン</t>
    </rPh>
    <phoneticPr fontId="22"/>
  </si>
  <si>
    <t>豊かな室外環境</t>
    <phoneticPr fontId="22"/>
  </si>
  <si>
    <t>豊かな室外環境</t>
    <rPh sb="0" eb="1">
      <t>ﾕﾀ</t>
    </rPh>
    <rPh sb="3" eb="5">
      <t>ｼﾂｶﾞｲ</t>
    </rPh>
    <rPh sb="5" eb="7">
      <t>ｶﾝｷｮｳ</t>
    </rPh>
    <phoneticPr fontId="35" type="noConversion"/>
  </si>
  <si>
    <t>知的生産性向上の取組み</t>
    <rPh sb="0" eb="7">
      <t>チテキセイサンセイコウジョウ</t>
    </rPh>
    <rPh sb="8" eb="10">
      <t>トリクミ</t>
    </rPh>
    <phoneticPr fontId="22"/>
  </si>
  <si>
    <t>４．ｲﾝﾃﾘｱｽﾍﾟｰｽ</t>
    <phoneticPr fontId="22"/>
  </si>
  <si>
    <t>知的生産性向上の取組み</t>
    <rPh sb="0" eb="2">
      <t>チテキ</t>
    </rPh>
    <rPh sb="2" eb="5">
      <t>セイサンセイ</t>
    </rPh>
    <rPh sb="5" eb="7">
      <t>コウジョウ</t>
    </rPh>
    <rPh sb="8" eb="10">
      <t>トリクミ</t>
    </rPh>
    <phoneticPr fontId="22"/>
  </si>
  <si>
    <t>（天井高）</t>
    <rPh sb="1" eb="3">
      <t>テンジョウ</t>
    </rPh>
    <rPh sb="3" eb="4">
      <t>ダカ</t>
    </rPh>
    <phoneticPr fontId="22"/>
  </si>
  <si>
    <t>（窓の配置）</t>
    <rPh sb="1" eb="2">
      <t>マド</t>
    </rPh>
    <rPh sb="3" eb="5">
      <t>ハイチ</t>
    </rPh>
    <phoneticPr fontId="22"/>
  </si>
  <si>
    <t>広さ感・景観（天井高）</t>
    <rPh sb="7" eb="9">
      <t>テンジョウ</t>
    </rPh>
    <rPh sb="9" eb="10">
      <t>ダカ</t>
    </rPh>
    <phoneticPr fontId="22"/>
  </si>
  <si>
    <t>広さ感・景観（窓）</t>
    <rPh sb="7" eb="8">
      <t>マド</t>
    </rPh>
    <phoneticPr fontId="22"/>
  </si>
  <si>
    <t>1.2.2</t>
  </si>
  <si>
    <t>1.2.3</t>
  </si>
  <si>
    <t>1.2.4</t>
  </si>
  <si>
    <t>1.2.5</t>
  </si>
  <si>
    <t>豊かな室外環境</t>
    <rPh sb="0" eb="1">
      <t>ユタ</t>
    </rPh>
    <rPh sb="3" eb="5">
      <t>シツガイ</t>
    </rPh>
    <rPh sb="5" eb="7">
      <t>カンキョウ</t>
    </rPh>
    <phoneticPr fontId="22"/>
  </si>
  <si>
    <t>2.3.4</t>
    <phoneticPr fontId="22"/>
  </si>
  <si>
    <t>空調方式（新築）</t>
    <rPh sb="0" eb="2">
      <t>クウチョウ</t>
    </rPh>
    <rPh sb="2" eb="4">
      <t>ホウシキ</t>
    </rPh>
    <rPh sb="5" eb="7">
      <t>シンチク</t>
    </rPh>
    <phoneticPr fontId="22"/>
  </si>
  <si>
    <t>空調方式（既存）</t>
    <rPh sb="0" eb="2">
      <t>クウチョウ</t>
    </rPh>
    <rPh sb="2" eb="4">
      <t>ホウシキ</t>
    </rPh>
    <rPh sb="5" eb="7">
      <t>キゾン</t>
    </rPh>
    <phoneticPr fontId="22"/>
  </si>
  <si>
    <r>
      <rPr>
        <sz val="9"/>
        <rFont val="ＭＳ Ｐゴシック"/>
        <family val="3"/>
        <charset val="128"/>
      </rPr>
      <t>採点シートの
採点結果</t>
    </r>
    <rPh sb="0" eb="2">
      <t>サイテン</t>
    </rPh>
    <rPh sb="7" eb="9">
      <t>サイテン</t>
    </rPh>
    <rPh sb="9" eb="11">
      <t>ケッカ</t>
    </rPh>
    <phoneticPr fontId="22"/>
  </si>
  <si>
    <r>
      <rPr>
        <sz val="9"/>
        <rFont val="ＭＳ Ｐゴシック"/>
        <family val="3"/>
        <charset val="128"/>
      </rPr>
      <t>建物全体</t>
    </r>
    <rPh sb="0" eb="2">
      <t>タテモノ</t>
    </rPh>
    <rPh sb="2" eb="4">
      <t>ゼンタイ</t>
    </rPh>
    <phoneticPr fontId="22"/>
  </si>
  <si>
    <r>
      <rPr>
        <sz val="9"/>
        <rFont val="ＭＳ Ｐゴシック"/>
        <family val="3"/>
        <charset val="128"/>
      </rPr>
      <t>住居宿泊</t>
    </r>
    <rPh sb="0" eb="2">
      <t>ジュウキョ</t>
    </rPh>
    <rPh sb="2" eb="4">
      <t>シュクハク</t>
    </rPh>
    <phoneticPr fontId="22"/>
  </si>
  <si>
    <t>↓工場はQ1とQ2の1は対象外の為、入力不要です。</t>
    <rPh sb="1" eb="3">
      <t>コウジョウ</t>
    </rPh>
    <phoneticPr fontId="22"/>
  </si>
  <si>
    <t>LR1/3の</t>
    <phoneticPr fontId="22"/>
  </si>
  <si>
    <t>年間使用時間</t>
    <rPh sb="0" eb="2">
      <t>ネンカン</t>
    </rPh>
    <rPh sb="2" eb="4">
      <t>シヨウ</t>
    </rPh>
    <rPh sb="4" eb="6">
      <t>ジカン</t>
    </rPh>
    <phoneticPr fontId="22"/>
  </si>
  <si>
    <t>日平均使用時間</t>
    <rPh sb="0" eb="1">
      <t>ニチ</t>
    </rPh>
    <rPh sb="1" eb="3">
      <t>ヘイキン</t>
    </rPh>
    <rPh sb="3" eb="5">
      <t>シヨウ</t>
    </rPh>
    <rPh sb="5" eb="7">
      <t>ジカン</t>
    </rPh>
    <phoneticPr fontId="22"/>
  </si>
  <si>
    <r>
      <t>kg-CO</t>
    </r>
    <r>
      <rPr>
        <vertAlign val="subscript"/>
        <sz val="10"/>
        <rFont val="ＭＳ Ｐゴシック"/>
        <family val="3"/>
        <charset val="128"/>
      </rPr>
      <t>2</t>
    </r>
    <r>
      <rPr>
        <sz val="10"/>
        <rFont val="ＭＳ Ｐゴシック"/>
        <family val="3"/>
        <charset val="128"/>
      </rPr>
      <t>/kWh</t>
    </r>
    <phoneticPr fontId="22"/>
  </si>
  <si>
    <t>201●年●月</t>
    <rPh sb="4" eb="5">
      <t>ネン</t>
    </rPh>
    <rPh sb="6" eb="7">
      <t>ガツ</t>
    </rPh>
    <phoneticPr fontId="22"/>
  </si>
  <si>
    <t>201●年●月●日</t>
    <rPh sb="4" eb="5">
      <t>ネン</t>
    </rPh>
    <rPh sb="6" eb="7">
      <t>ガツ</t>
    </rPh>
    <rPh sb="8" eb="9">
      <t>ニチ</t>
    </rPh>
    <phoneticPr fontId="22"/>
  </si>
  <si>
    <r>
      <t>ｔ-CO</t>
    </r>
    <r>
      <rPr>
        <vertAlign val="subscript"/>
        <sz val="11"/>
        <rFont val="ＭＳ Ｐゴシック"/>
        <family val="3"/>
        <charset val="128"/>
      </rPr>
      <t>2</t>
    </r>
    <r>
      <rPr>
        <sz val="11"/>
        <rFont val="ＭＳ Ｐゴシック"/>
        <family val="3"/>
        <charset val="128"/>
      </rPr>
      <t>/kWh</t>
    </r>
    <phoneticPr fontId="22"/>
  </si>
  <si>
    <r>
      <t>(t-CO</t>
    </r>
    <r>
      <rPr>
        <vertAlign val="subscript"/>
        <sz val="11"/>
        <rFont val="ＭＳ Ｐゴシック"/>
        <family val="3"/>
        <charset val="128"/>
      </rPr>
      <t>2</t>
    </r>
    <r>
      <rPr>
        <sz val="11"/>
        <rFont val="ＭＳ Ｐゴシック"/>
        <family val="3"/>
        <charset val="128"/>
      </rPr>
      <t>/kWh)</t>
    </r>
    <phoneticPr fontId="22"/>
  </si>
  <si>
    <t>■建物名称　</t>
    <rPh sb="1" eb="3">
      <t>タテモノ</t>
    </rPh>
    <rPh sb="3" eb="5">
      <t>メイショウ</t>
    </rPh>
    <phoneticPr fontId="22"/>
  </si>
  <si>
    <t>　注）　設計における総合的なコンセプトを簡潔に記載してください。
　</t>
    <rPh sb="4" eb="6">
      <t>セッケイ</t>
    </rPh>
    <phoneticPr fontId="22"/>
  </si>
  <si>
    <t>　注）　「Q1　室内環境」に対する配慮事項を簡潔に記載してください。</t>
    <rPh sb="17" eb="19">
      <t>ハイリョ</t>
    </rPh>
    <rPh sb="19" eb="21">
      <t>ジコウ</t>
    </rPh>
    <phoneticPr fontId="22"/>
  </si>
  <si>
    <t>　注）　「Q2　サービス性能」に対する配慮事項を簡潔に記載してください。</t>
    <phoneticPr fontId="22"/>
  </si>
  <si>
    <t>　注）　「Q3　室外環境（敷地内）」に対する配慮事項を簡潔に記載してください。</t>
    <phoneticPr fontId="22"/>
  </si>
  <si>
    <t>　注）　「LR1　エネルギー」に対する配慮事項を簡潔に記載してください。</t>
    <phoneticPr fontId="22"/>
  </si>
  <si>
    <t>　注）　「LR2　資源・マテリアル」に対する配慮事項を簡潔に記載してください。</t>
    <phoneticPr fontId="22"/>
  </si>
  <si>
    <t>　注）　「LR3　敷地外環境」に対する配慮事項を簡潔に記載してください。</t>
    <phoneticPr fontId="22"/>
  </si>
  <si>
    <t>　注）　上記の６つのカテゴリー以外に、建設工事における廃棄物削減・リサイクル、歴史的建造物の保存など、建物自体の環境性能としてＣＡＳＢＥＥで評価し難い環境配慮の取組みがあれば、ここに記載してください。</t>
    <rPh sb="19" eb="21">
      <t>ケンセツ</t>
    </rPh>
    <phoneticPr fontId="22"/>
  </si>
  <si>
    <t>注記；</t>
    <rPh sb="0" eb="2">
      <t>チュウキ</t>
    </rPh>
    <phoneticPr fontId="22"/>
  </si>
  <si>
    <t>住宅部分は、運用段階のLCCO2の算定に必要となるため、一次エネルギー消費量を入力する。なお非住宅部分については、LR1/3．設備システムの高効率化、および運用段階のLCCO2の算定ともにBEIを用いているため、一次エネルギー消費量の入力は不要（ただしオンサイトの取組分は要入力）。</t>
    <rPh sb="20" eb="22">
      <t>ヒツヨウ</t>
    </rPh>
    <rPh sb="28" eb="30">
      <t>イチジ</t>
    </rPh>
    <rPh sb="35" eb="38">
      <t>ショウヒリョウ</t>
    </rPh>
    <rPh sb="39" eb="41">
      <t>ニュウリョク</t>
    </rPh>
    <rPh sb="46" eb="47">
      <t>ヒ</t>
    </rPh>
    <rPh sb="47" eb="49">
      <t>ジュウタク</t>
    </rPh>
    <rPh sb="49" eb="51">
      <t>ブブン</t>
    </rPh>
    <rPh sb="63" eb="65">
      <t>セツビ</t>
    </rPh>
    <rPh sb="70" eb="74">
      <t>コウコウリツカ</t>
    </rPh>
    <rPh sb="78" eb="80">
      <t>ウンヨウ</t>
    </rPh>
    <rPh sb="80" eb="82">
      <t>ダンカイ</t>
    </rPh>
    <rPh sb="89" eb="91">
      <t>サンテイ</t>
    </rPh>
    <rPh sb="98" eb="99">
      <t>モチ</t>
    </rPh>
    <rPh sb="106" eb="108">
      <t>イチジ</t>
    </rPh>
    <rPh sb="113" eb="116">
      <t>ショウヒリョウ</t>
    </rPh>
    <rPh sb="117" eb="119">
      <t>ニュウリョク</t>
    </rPh>
    <rPh sb="120" eb="122">
      <t>フヨウ</t>
    </rPh>
    <rPh sb="132" eb="134">
      <t>トリクミ</t>
    </rPh>
    <rPh sb="134" eb="135">
      <t>ブン</t>
    </rPh>
    <rPh sb="136" eb="137">
      <t>ヨウ</t>
    </rPh>
    <rPh sb="137" eb="139">
      <t>ニュウリョク</t>
    </rPh>
    <phoneticPr fontId="22"/>
  </si>
  <si>
    <r>
      <t>kg-CO</t>
    </r>
    <r>
      <rPr>
        <vertAlign val="subscript"/>
        <sz val="10"/>
        <rFont val="ＭＳ Ｐゴシック"/>
        <family val="3"/>
        <charset val="128"/>
      </rPr>
      <t>2</t>
    </r>
    <r>
      <rPr>
        <sz val="10"/>
        <rFont val="ＭＳ Ｐゴシック"/>
        <family val="3"/>
        <charset val="128"/>
      </rPr>
      <t>/kWh）</t>
    </r>
    <phoneticPr fontId="22"/>
  </si>
  <si>
    <r>
      <t>b.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2"/>
  </si>
  <si>
    <r>
      <t>a.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2"/>
  </si>
  <si>
    <r>
      <t>■CO</t>
    </r>
    <r>
      <rPr>
        <b/>
        <vertAlign val="subscript"/>
        <sz val="12"/>
        <rFont val="ＭＳ Ｐゴシック"/>
        <family val="3"/>
        <charset val="128"/>
      </rPr>
      <t>2</t>
    </r>
    <r>
      <rPr>
        <b/>
        <sz val="12"/>
        <rFont val="ＭＳ Ｐゴシック"/>
        <family val="3"/>
        <charset val="128"/>
      </rPr>
      <t>データベース</t>
    </r>
    <phoneticPr fontId="22"/>
  </si>
  <si>
    <r>
      <t>c.　運用に係るCO</t>
    </r>
    <r>
      <rPr>
        <b/>
        <vertAlign val="subscript"/>
        <sz val="11"/>
        <rFont val="ＭＳ Ｐゴシック"/>
        <family val="3"/>
        <charset val="128"/>
      </rPr>
      <t>2</t>
    </r>
    <r>
      <rPr>
        <b/>
        <sz val="11"/>
        <rFont val="ＭＳ Ｐゴシック"/>
        <family val="3"/>
        <charset val="128"/>
      </rPr>
      <t>排出量</t>
    </r>
    <rPh sb="3" eb="5">
      <t>ウンヨウ</t>
    </rPh>
    <rPh sb="6" eb="7">
      <t>カカ</t>
    </rPh>
    <rPh sb="11" eb="13">
      <t>ハイシュツ</t>
    </rPh>
    <rPh sb="13" eb="14">
      <t>リョウ</t>
    </rPh>
    <phoneticPr fontId="22"/>
  </si>
  <si>
    <r>
      <t>CO</t>
    </r>
    <r>
      <rPr>
        <vertAlign val="subscript"/>
        <sz val="9"/>
        <rFont val="ＭＳ Ｐゴシック"/>
        <family val="3"/>
        <charset val="128"/>
      </rPr>
      <t>2</t>
    </r>
    <r>
      <rPr>
        <sz val="9"/>
        <rFont val="ＭＳ Ｐゴシック"/>
        <family val="3"/>
        <charset val="128"/>
      </rPr>
      <t>換算係数</t>
    </r>
    <rPh sb="3" eb="5">
      <t>カンサン</t>
    </rPh>
    <rPh sb="5" eb="7">
      <t>ケイスウ</t>
    </rPh>
    <phoneticPr fontId="22"/>
  </si>
  <si>
    <r>
      <t>kg-CO</t>
    </r>
    <r>
      <rPr>
        <vertAlign val="subscript"/>
        <sz val="10"/>
        <rFont val="ＭＳ Ｐゴシック"/>
        <family val="3"/>
        <charset val="128"/>
      </rPr>
      <t>2</t>
    </r>
    <r>
      <rPr>
        <sz val="10"/>
        <rFont val="ＭＳ Ｐゴシック"/>
        <family val="3"/>
        <charset val="128"/>
      </rPr>
      <t>/MJ</t>
    </r>
    <phoneticPr fontId="22"/>
  </si>
  <si>
    <r>
      <t>(t-CO</t>
    </r>
    <r>
      <rPr>
        <vertAlign val="subscript"/>
        <sz val="10"/>
        <rFont val="ＭＳ Ｐゴシック"/>
        <family val="3"/>
        <charset val="128"/>
      </rPr>
      <t>2</t>
    </r>
    <r>
      <rPr>
        <sz val="10"/>
        <rFont val="ＭＳ Ｐゴシック"/>
        <family val="3"/>
        <charset val="128"/>
      </rPr>
      <t>/kWh)</t>
    </r>
    <phoneticPr fontId="22"/>
  </si>
  <si>
    <r>
      <t>LR1/3 仕様基準評価の場合のCO</t>
    </r>
    <r>
      <rPr>
        <b/>
        <vertAlign val="subscript"/>
        <sz val="10"/>
        <rFont val="ＭＳ Ｐゴシック"/>
        <family val="3"/>
        <charset val="128"/>
      </rPr>
      <t>2</t>
    </r>
    <r>
      <rPr>
        <b/>
        <sz val="10"/>
        <rFont val="ＭＳ Ｐゴシック"/>
        <family val="3"/>
        <charset val="128"/>
      </rPr>
      <t>排出量算出に用いる一次エネルギー消費量</t>
    </r>
    <rPh sb="6" eb="8">
      <t>シヨウ</t>
    </rPh>
    <rPh sb="8" eb="10">
      <t>キジュン</t>
    </rPh>
    <rPh sb="10" eb="12">
      <t>ヒョウカ</t>
    </rPh>
    <rPh sb="13" eb="15">
      <t>バアイ</t>
    </rPh>
    <phoneticPr fontId="22"/>
  </si>
  <si>
    <r>
      <t>MJ/年m</t>
    </r>
    <r>
      <rPr>
        <vertAlign val="superscript"/>
        <sz val="10"/>
        <rFont val="ＭＳ Ｐゴシック"/>
        <family val="3"/>
        <charset val="128"/>
      </rPr>
      <t>2</t>
    </r>
    <rPh sb="3" eb="4">
      <t>ネン</t>
    </rPh>
    <phoneticPr fontId="22"/>
  </si>
  <si>
    <t>既存躯体100%</t>
    <rPh sb="0" eb="2">
      <t>キソン</t>
    </rPh>
    <rPh sb="2" eb="4">
      <t>クタイ</t>
    </rPh>
    <phoneticPr fontId="22"/>
  </si>
  <si>
    <t>一次エネルギー消費性能（BEI等の転記）</t>
    <rPh sb="0" eb="2">
      <t>イチジ</t>
    </rPh>
    <rPh sb="7" eb="9">
      <t>ショウヒ</t>
    </rPh>
    <rPh sb="9" eb="11">
      <t>セイノウ</t>
    </rPh>
    <rPh sb="15" eb="16">
      <t>トウ</t>
    </rPh>
    <rPh sb="17" eb="19">
      <t>テンキ</t>
    </rPh>
    <phoneticPr fontId="22"/>
  </si>
  <si>
    <t xml:space="preserve">[BEI] = </t>
    <phoneticPr fontId="22"/>
  </si>
  <si>
    <t>住</t>
    <rPh sb="0" eb="1">
      <t>ジュウ</t>
    </rPh>
    <phoneticPr fontId="22"/>
  </si>
  <si>
    <t>■住宅部分（専有部）において算定プログラムを使わない場合、以下の３カ所を必ず選択して下さい。</t>
    <rPh sb="1" eb="3">
      <t>ジュウタク</t>
    </rPh>
    <rPh sb="3" eb="5">
      <t>ブブン</t>
    </rPh>
    <rPh sb="6" eb="9">
      <t>センユウブ</t>
    </rPh>
    <rPh sb="14" eb="16">
      <t>サンテイ</t>
    </rPh>
    <rPh sb="22" eb="23">
      <t>ツカ</t>
    </rPh>
    <rPh sb="26" eb="28">
      <t>バアイ</t>
    </rPh>
    <rPh sb="29" eb="31">
      <t>イカ</t>
    </rPh>
    <rPh sb="34" eb="35">
      <t>ショ</t>
    </rPh>
    <rPh sb="36" eb="37">
      <t>カナラ</t>
    </rPh>
    <rPh sb="38" eb="40">
      <t>センタク</t>
    </rPh>
    <rPh sb="42" eb="43">
      <t>クダ</t>
    </rPh>
    <phoneticPr fontId="22"/>
  </si>
  <si>
    <t>一次エネルギー消費量の転記</t>
    <rPh sb="0" eb="2">
      <t>イチジ</t>
    </rPh>
    <rPh sb="7" eb="10">
      <t>ショウヒリョウ</t>
    </rPh>
    <rPh sb="11" eb="13">
      <t>テンキ</t>
    </rPh>
    <phoneticPr fontId="22"/>
  </si>
  <si>
    <t>ﾚﾍﾞﾙ４</t>
    <phoneticPr fontId="22"/>
  </si>
  <si>
    <t>（１）BEIによる評価</t>
    <rPh sb="9" eb="11">
      <t>ﾋｮｳｶ</t>
    </rPh>
    <phoneticPr fontId="35" type="noConversion"/>
  </si>
  <si>
    <t>（２）BEImによる評価</t>
    <rPh sb="10" eb="12">
      <t>ﾋｮｳｶ</t>
    </rPh>
    <phoneticPr fontId="35" type="noConversion"/>
  </si>
  <si>
    <t xml:space="preserve">[BEIm] = </t>
    <phoneticPr fontId="22"/>
  </si>
  <si>
    <t>対象面積(㎡)</t>
    <rPh sb="0" eb="2">
      <t>タイショウ</t>
    </rPh>
    <rPh sb="2" eb="4">
      <t>メンセキ</t>
    </rPh>
    <rPh sb="4" eb="6">
      <t>ユカメンセキ</t>
    </rPh>
    <phoneticPr fontId="22"/>
  </si>
  <si>
    <t>■用途別評価対象面積の入力</t>
    <rPh sb="1" eb="3">
      <t>ヨウト</t>
    </rPh>
    <rPh sb="3" eb="4">
      <t>ベツ</t>
    </rPh>
    <rPh sb="4" eb="6">
      <t>ヒョウカ</t>
    </rPh>
    <rPh sb="6" eb="8">
      <t>タイショウ</t>
    </rPh>
    <rPh sb="8" eb="10">
      <t>メンセキ</t>
    </rPh>
    <rPh sb="11" eb="13">
      <t>ニュウリョク</t>
    </rPh>
    <phoneticPr fontId="22"/>
  </si>
  <si>
    <t>（３）仕様基準による評価</t>
    <rPh sb="3" eb="5">
      <t>シヨウ</t>
    </rPh>
    <rPh sb="5" eb="7">
      <t>キジュン</t>
    </rPh>
    <rPh sb="10" eb="12">
      <t>ヒョウカ</t>
    </rPh>
    <phoneticPr fontId="22"/>
  </si>
  <si>
    <t>建物全体のBEI</t>
    <rPh sb="0" eb="2">
      <t>タテモノ</t>
    </rPh>
    <rPh sb="2" eb="4">
      <t>ゼンタイ</t>
    </rPh>
    <phoneticPr fontId="22"/>
  </si>
  <si>
    <t>下記（１）（２）（３）で評価する場合は空欄</t>
    <rPh sb="0" eb="2">
      <t>カキ</t>
    </rPh>
    <rPh sb="12" eb="14">
      <t>ヒョウカ</t>
    </rPh>
    <rPh sb="16" eb="18">
      <t>バアイ</t>
    </rPh>
    <rPh sb="19" eb="21">
      <t>クウラン</t>
    </rPh>
    <phoneticPr fontId="22"/>
  </si>
  <si>
    <t>評価対象面積</t>
    <rPh sb="0" eb="2">
      <t>ヒョウカ</t>
    </rPh>
    <rPh sb="2" eb="4">
      <t>タイショウ</t>
    </rPh>
    <rPh sb="4" eb="6">
      <t>メンセキ</t>
    </rPh>
    <phoneticPr fontId="22"/>
  </si>
  <si>
    <t>■建物全体のレベル（上記（１）（２）（３）による評価）</t>
    <rPh sb="1" eb="3">
      <t>タテモノ</t>
    </rPh>
    <rPh sb="3" eb="5">
      <t>ゼンタイ</t>
    </rPh>
    <rPh sb="10" eb="12">
      <t>ジョウキ</t>
    </rPh>
    <rPh sb="24" eb="26">
      <t>ヒョウカ</t>
    </rPh>
    <phoneticPr fontId="22"/>
  </si>
  <si>
    <t>（１）BEI</t>
    <phoneticPr fontId="22"/>
  </si>
  <si>
    <t>（２）BEIｍ</t>
    <phoneticPr fontId="22"/>
  </si>
  <si>
    <t>（３）仕様基準</t>
    <rPh sb="3" eb="5">
      <t>シヨウ</t>
    </rPh>
    <rPh sb="5" eb="7">
      <t>キジュン</t>
    </rPh>
    <phoneticPr fontId="22"/>
  </si>
  <si>
    <t>■評価対象面積の入力</t>
    <rPh sb="1" eb="3">
      <t>ヒョウカ</t>
    </rPh>
    <rPh sb="3" eb="5">
      <t>タイショウ</t>
    </rPh>
    <rPh sb="5" eb="7">
      <t>メンセキ</t>
    </rPh>
    <rPh sb="8" eb="10">
      <t>ニュウリョク</t>
    </rPh>
    <phoneticPr fontId="22"/>
  </si>
  <si>
    <t>㎡</t>
    <phoneticPr fontId="22"/>
  </si>
  <si>
    <t>仕様基準を適用した住戸の合計面積を入力</t>
    <rPh sb="0" eb="2">
      <t>シヨウ</t>
    </rPh>
    <rPh sb="2" eb="4">
      <t>キジュン</t>
    </rPh>
    <rPh sb="5" eb="7">
      <t>テキヨウ</t>
    </rPh>
    <rPh sb="9" eb="11">
      <t>ジュウコ</t>
    </rPh>
    <rPh sb="12" eb="14">
      <t>ゴウケイ</t>
    </rPh>
    <rPh sb="14" eb="16">
      <t>メンセキ</t>
    </rPh>
    <rPh sb="17" eb="19">
      <t>ニュウリョク</t>
    </rPh>
    <phoneticPr fontId="22"/>
  </si>
  <si>
    <t>住宅の共用部、住戸部分も含めたBEIを入力</t>
    <rPh sb="0" eb="2">
      <t>ジュウタク</t>
    </rPh>
    <rPh sb="3" eb="5">
      <t>キョウヨウ</t>
    </rPh>
    <rPh sb="5" eb="6">
      <t>ブ</t>
    </rPh>
    <rPh sb="7" eb="9">
      <t>ジュウコ</t>
    </rPh>
    <rPh sb="9" eb="11">
      <t>ブブン</t>
    </rPh>
    <rPh sb="12" eb="13">
      <t>フク</t>
    </rPh>
    <rPh sb="19" eb="21">
      <t>ニュウリョク</t>
    </rPh>
    <phoneticPr fontId="22"/>
  </si>
  <si>
    <t>評価対象面積合計</t>
    <rPh sb="0" eb="2">
      <t>ヒョウカ</t>
    </rPh>
    <rPh sb="2" eb="4">
      <t>タイショウ</t>
    </rPh>
    <rPh sb="4" eb="6">
      <t>メンセキ</t>
    </rPh>
    <rPh sb="6" eb="8">
      <t>ゴウケイ</t>
    </rPh>
    <phoneticPr fontId="22"/>
  </si>
  <si>
    <t>算定プログラムを用いる評価</t>
    <rPh sb="0" eb="2">
      <t>サンテイ</t>
    </rPh>
    <rPh sb="8" eb="9">
      <t>モチ</t>
    </rPh>
    <rPh sb="11" eb="13">
      <t>ヒョウカ</t>
    </rPh>
    <phoneticPr fontId="22"/>
  </si>
  <si>
    <t>算定プログラムを用いない評価</t>
    <rPh sb="0" eb="2">
      <t>サンテイ</t>
    </rPh>
    <rPh sb="8" eb="9">
      <t>モチ</t>
    </rPh>
    <rPh sb="12" eb="14">
      <t>ヒョウカ</t>
    </rPh>
    <phoneticPr fontId="22"/>
  </si>
  <si>
    <t>非住宅部分のBEI</t>
    <rPh sb="0" eb="1">
      <t>ヒ</t>
    </rPh>
    <rPh sb="1" eb="3">
      <t>ジュウタク</t>
    </rPh>
    <rPh sb="3" eb="5">
      <t>ブブン</t>
    </rPh>
    <phoneticPr fontId="22"/>
  </si>
  <si>
    <t>各住戸の相当する等級が異なる場合には、住戸毎に評価を行い、算定されたレベルを住戸数で加重平均し、四捨五入で最も近いレベルを選択する。ただし、レベル5の「等級4を超える水準」については、各住戸の平均外皮性能値に基づき評価するため、加重平均を行う必要はない。</t>
    <phoneticPr fontId="22"/>
  </si>
  <si>
    <t>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t>
    <phoneticPr fontId="22"/>
  </si>
  <si>
    <t>各住戸の開口部の平均日射熱取得率が12以下となること。</t>
    <phoneticPr fontId="22"/>
  </si>
  <si>
    <t>共用部</t>
    <rPh sb="0" eb="2">
      <t>キョウヨウ</t>
    </rPh>
    <phoneticPr fontId="22"/>
  </si>
  <si>
    <t>以下の場合は、建物全体のBEI（BEIm）での評価になります。
・非住宅建築物で、標準入力法(BEI)で評価した場合
・非住宅建築物で、モデル建物法（BEIm）で評価した場合
・住宅用途ないしは住宅を含む複合用途で、
　専有部を算定プログラム（BEI）、共用部と非住宅部分を標準入力法（BEI）で評価した場合</t>
    <phoneticPr fontId="22"/>
  </si>
  <si>
    <r>
      <rPr>
        <b/>
        <sz val="10"/>
        <rFont val="ＭＳ Ｐゴシック"/>
        <family val="3"/>
        <charset val="128"/>
      </rPr>
      <t>次の場合は、以下の（１）（２）（３）で評価してください。</t>
    </r>
    <r>
      <rPr>
        <sz val="10"/>
        <rFont val="ＭＳ Ｐゴシック"/>
        <family val="3"/>
        <charset val="128"/>
      </rPr>
      <t xml:space="preserve">
・住宅を含む複合用途で、共用部を標準入力法（BEI）、非住宅部分をモデル建物法（BEIm）で評価した場合
・住宅用途ないしは住宅を含む複合用途で、専有部を住宅仕様基準で評価した場合</t>
    </r>
    <rPh sb="6" eb="8">
      <t>イカ</t>
    </rPh>
    <phoneticPr fontId="22"/>
  </si>
  <si>
    <t>非住宅建築物は、建物全体のBEIと同じ数値を入力</t>
    <rPh sb="0" eb="1">
      <t>ヒ</t>
    </rPh>
    <rPh sb="1" eb="3">
      <t>ジュウタク</t>
    </rPh>
    <rPh sb="3" eb="6">
      <t>ケンチクブツ</t>
    </rPh>
    <rPh sb="8" eb="10">
      <t>タテモノ</t>
    </rPh>
    <rPh sb="10" eb="12">
      <t>ゼンタイ</t>
    </rPh>
    <rPh sb="17" eb="18">
      <t>オナ</t>
    </rPh>
    <rPh sb="19" eb="21">
      <t>スウチ</t>
    </rPh>
    <rPh sb="22" eb="24">
      <t>ニュウリョク</t>
    </rPh>
    <phoneticPr fontId="22"/>
  </si>
  <si>
    <t>[BEI] [BEIm]の値を入力（LCCO2評価用）</t>
    <phoneticPr fontId="22"/>
  </si>
  <si>
    <t>下記（１）（２）（３）で評価する場合は複合用途の内の非住宅部分の（１）（２）の</t>
    <rPh sb="0" eb="2">
      <t>カキ</t>
    </rPh>
    <rPh sb="12" eb="14">
      <t>ヒョウカ</t>
    </rPh>
    <rPh sb="16" eb="18">
      <t>バアイ</t>
    </rPh>
    <phoneticPr fontId="22"/>
  </si>
  <si>
    <t>小中高校・集合住宅</t>
    <rPh sb="0" eb="3">
      <t>ショウチュウコウ</t>
    </rPh>
    <rPh sb="3" eb="4">
      <t>コウ</t>
    </rPh>
    <rPh sb="5" eb="7">
      <t>シュウゴウ</t>
    </rPh>
    <rPh sb="7" eb="9">
      <t>ジュウタク</t>
    </rPh>
    <phoneticPr fontId="22"/>
  </si>
  <si>
    <t>計</t>
    <rPh sb="0" eb="1">
      <t>ケイ</t>
    </rPh>
    <phoneticPr fontId="22"/>
  </si>
  <si>
    <t>CASBEE-BD_NC_2016(v3.0)</t>
    <phoneticPr fontId="22"/>
  </si>
  <si>
    <t>不活性ガス消火剤を使用</t>
    <rPh sb="0" eb="3">
      <t>フカッセイ</t>
    </rPh>
    <rPh sb="5" eb="8">
      <t>ショウカザイ</t>
    </rPh>
    <rPh sb="9" eb="11">
      <t>シヨウ</t>
    </rPh>
    <phoneticPr fontId="22"/>
  </si>
  <si>
    <t>BEMSの使用</t>
    <rPh sb="5" eb="7">
      <t>シヨウ</t>
    </rPh>
    <phoneticPr fontId="22"/>
  </si>
  <si>
    <t>BPI=0.97</t>
    <phoneticPr fontId="22"/>
  </si>
  <si>
    <t>床吹き出し空調の採用</t>
    <rPh sb="0" eb="1">
      <t>ユカ</t>
    </rPh>
    <rPh sb="1" eb="2">
      <t>フ</t>
    </rPh>
    <rPh sb="3" eb="4">
      <t>ダ</t>
    </rPh>
    <rPh sb="5" eb="7">
      <t>クウチョウ</t>
    </rPh>
    <rPh sb="8" eb="10">
      <t>サイヨウ</t>
    </rPh>
    <phoneticPr fontId="22"/>
  </si>
  <si>
    <t>昼光率≧2.5％</t>
    <rPh sb="0" eb="2">
      <t>チュウコウ</t>
    </rPh>
    <rPh sb="2" eb="3">
      <t>リツ</t>
    </rPh>
    <phoneticPr fontId="22"/>
  </si>
  <si>
    <t>コンセント40VA/㎡以上</t>
    <rPh sb="11" eb="13">
      <t>イジョウ</t>
    </rPh>
    <phoneticPr fontId="22"/>
  </si>
  <si>
    <t>制御装置の導入</t>
    <rPh sb="0" eb="2">
      <t>セイギョ</t>
    </rPh>
    <rPh sb="2" eb="4">
      <t>ソウチ</t>
    </rPh>
    <rPh sb="5" eb="7">
      <t>ドウニュウ</t>
    </rPh>
    <phoneticPr fontId="22"/>
  </si>
  <si>
    <t>ライトシェルフを導入</t>
    <rPh sb="8" eb="10">
      <t>ドウニュウ</t>
    </rPh>
    <phoneticPr fontId="22"/>
  </si>
  <si>
    <t>全館禁煙としている</t>
    <rPh sb="0" eb="2">
      <t>ゼンカン</t>
    </rPh>
    <rPh sb="2" eb="4">
      <t>キンエン</t>
    </rPh>
    <phoneticPr fontId="22"/>
  </si>
  <si>
    <t>建築物移動等円滑化基準を満たす</t>
    <rPh sb="0" eb="3">
      <t>ケンチクブツ</t>
    </rPh>
    <rPh sb="3" eb="5">
      <t>イドウ</t>
    </rPh>
    <rPh sb="5" eb="6">
      <t>トウ</t>
    </rPh>
    <rPh sb="6" eb="9">
      <t>エンカツカ</t>
    </rPh>
    <rPh sb="9" eb="11">
      <t>キジュン</t>
    </rPh>
    <rPh sb="12" eb="13">
      <t>ミ</t>
    </rPh>
    <phoneticPr fontId="22"/>
  </si>
  <si>
    <t>LCCO2排出率70％</t>
    <rPh sb="5" eb="7">
      <t>ハイシュツ</t>
    </rPh>
    <rPh sb="7" eb="8">
      <t>リツ</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</si>
</sst>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176" formatCode="0;0;&quot;&quot;"/>
    <numFmt numFmtId="177" formatCode="0.0_ "/>
    <numFmt numFmtId="178" formatCode="0.00_ "/>
    <numFmt numFmtId="179" formatCode="0.00_);[Red]\(0.00\)"/>
    <numFmt numFmtId="180" formatCode="0;0;&quot;－&quot;"/>
    <numFmt numFmtId="181" formatCode="#,##0_ "/>
    <numFmt numFmtId="182" formatCode="0.0"/>
    <numFmt numFmtId="183" formatCode="0.0;0.0;&quot;-&quot;\ "/>
    <numFmt numFmtId="184" formatCode="0.00;0.00;&quot;-&quot;\ "/>
    <numFmt numFmtId="185" formatCode="0.0;0.0;&quot;－&quot;"/>
    <numFmt numFmtId="186" formatCode="#,##0.0;[Red]\-#,##0.0"/>
    <numFmt numFmtId="187" formatCode="0.00;0.00;&quot;－&quot;"/>
    <numFmt numFmtId="188" formatCode="0.000_ "/>
    <numFmt numFmtId="189" formatCode="0.000_);[Red]\(0.000\)"/>
    <numFmt numFmtId="190" formatCode="0_ "/>
    <numFmt numFmtId="191" formatCode="#,###&quot;㎡&quot;"/>
    <numFmt numFmtId="192" formatCode="0.00;0.00;&quot;-&quot;"/>
    <numFmt numFmtId="193" formatCode="0.00;0.00;&quot;対象外&quot;"/>
    <numFmt numFmtId="194" formatCode="&quot;レベル &quot;#0.0;0.00;&quot;対象外&quot;"/>
    <numFmt numFmtId="195" formatCode="0.0;_Ā"/>
    <numFmt numFmtId="196" formatCode="0.000;_Ā"/>
    <numFmt numFmtId="197" formatCode="0.0000"/>
    <numFmt numFmtId="198" formatCode="#&quot;年&quot;"/>
    <numFmt numFmtId="199" formatCode="#,##0.000;[Red]\-#,##0.000"/>
    <numFmt numFmtId="200" formatCode="0.0000_ "/>
    <numFmt numFmtId="201" formatCode="0.0_);[Red]\(0.0\)"/>
    <numFmt numFmtId="202" formatCode="0.000000_ "/>
    <numFmt numFmtId="203" formatCode="General;General;"/>
    <numFmt numFmtId="204" formatCode="0.00000_ "/>
    <numFmt numFmtId="205" formatCode="0.000"/>
    <numFmt numFmtId="206" formatCode="#,##0_);[Red]\(#,##0\)"/>
    <numFmt numFmtId="207" formatCode="#,##0.00_ ;[Red]\-#,##0.00\ "/>
    <numFmt numFmtId="208" formatCode="0.0%"/>
    <numFmt numFmtId="209" formatCode="0.000000"/>
  </numFmts>
  <fonts count="194">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9"/>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sz val="10"/>
      <color indexed="21"/>
      <name val="ＭＳ Ｐゴシック"/>
      <family val="3"/>
      <charset val="128"/>
    </font>
    <font>
      <b/>
      <sz val="16"/>
      <color indexed="9"/>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b/>
      <vertAlign val="subscript"/>
      <sz val="12"/>
      <color indexed="9"/>
      <name val="ＭＳ Ｐゴシック"/>
      <family val="3"/>
      <charset val="128"/>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sz val="11"/>
      <color indexed="26"/>
      <name val="ＭＳ Ｐゴシック"/>
      <family val="3"/>
      <charset val="128"/>
    </font>
    <font>
      <b/>
      <sz val="11"/>
      <color indexed="26"/>
      <name val="Arial"/>
      <family val="2"/>
    </font>
    <font>
      <b/>
      <i/>
      <sz val="10"/>
      <color indexed="9"/>
      <name val="ＭＳ Ｐゴシック"/>
      <family val="3"/>
      <charset val="128"/>
    </font>
    <font>
      <b/>
      <i/>
      <sz val="9"/>
      <color indexed="9"/>
      <name val="ＭＳ Ｐゴシック"/>
      <family val="3"/>
      <charset val="128"/>
    </font>
    <font>
      <b/>
      <i/>
      <sz val="14"/>
      <color indexed="9"/>
      <name val="ＭＳ Ｐゴシック"/>
      <family val="3"/>
      <charset val="128"/>
    </font>
    <font>
      <b/>
      <i/>
      <sz val="14"/>
      <color indexed="9"/>
      <name val="Arial"/>
      <family val="2"/>
    </font>
    <font>
      <b/>
      <i/>
      <sz val="9"/>
      <name val="ＭＳ Ｐゴシック"/>
      <family val="3"/>
      <charset val="128"/>
    </font>
    <font>
      <b/>
      <i/>
      <sz val="10"/>
      <name val="Arial"/>
      <family val="2"/>
    </font>
    <font>
      <b/>
      <i/>
      <sz val="11"/>
      <name val="ＭＳ Ｐゴシック"/>
      <family val="3"/>
      <charset val="128"/>
    </font>
    <font>
      <i/>
      <sz val="11"/>
      <name val="Arial"/>
      <family val="2"/>
    </font>
    <font>
      <b/>
      <sz val="11"/>
      <color indexed="42"/>
      <name val="ＭＳ Ｐゴシック"/>
      <family val="3"/>
      <charset val="128"/>
    </font>
    <font>
      <b/>
      <sz val="11"/>
      <color indexed="42"/>
      <name val="Arial"/>
      <family val="2"/>
    </font>
    <font>
      <i/>
      <sz val="8"/>
      <name val="Arial"/>
      <family val="2"/>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b/>
      <vertAlign val="subscript"/>
      <sz val="11"/>
      <name val="ＭＳ Ｐゴシック"/>
      <family val="3"/>
      <charset val="128"/>
    </font>
    <font>
      <vertAlign val="superscript"/>
      <sz val="10"/>
      <name val="ＭＳ Ｐゴシック"/>
      <family val="3"/>
      <charset val="128"/>
    </font>
    <font>
      <b/>
      <vertAlign val="subscript"/>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vertAlign val="superscript"/>
      <sz val="9"/>
      <name val="ＭＳ Ｐゴシック"/>
      <family val="3"/>
      <charset val="128"/>
    </font>
    <font>
      <b/>
      <vertAlign val="subscript"/>
      <sz val="10"/>
      <name val="Arial"/>
      <family val="2"/>
    </font>
    <font>
      <vertAlign val="subscript"/>
      <sz val="9"/>
      <name val="ＭＳ Ｐゴシック"/>
      <family val="3"/>
      <charset val="128"/>
    </font>
    <font>
      <sz val="10"/>
      <color indexed="8"/>
      <name val="ＭＳ Ｐゴシック"/>
      <family val="3"/>
      <charset val="128"/>
    </font>
    <font>
      <sz val="8"/>
      <name val="ＭＳ 明朝"/>
      <family val="1"/>
      <charset val="128"/>
    </font>
    <font>
      <sz val="8"/>
      <name val="M 中ゴシック BBB"/>
      <family val="3"/>
      <charset val="128"/>
    </font>
    <font>
      <b/>
      <vertAlign val="subscript"/>
      <sz val="9"/>
      <name val="ＭＳ Ｐゴシック"/>
      <family val="3"/>
      <charset val="128"/>
    </font>
    <font>
      <b/>
      <sz val="10"/>
      <color indexed="12"/>
      <name val="ＭＳ Ｐゴシック"/>
      <family val="3"/>
      <charset val="128"/>
    </font>
    <font>
      <b/>
      <vertAlign val="subscript"/>
      <sz val="12"/>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b/>
      <sz val="10"/>
      <color indexed="8"/>
      <name val="ＭＳ Ｐゴシック"/>
      <family val="3"/>
      <charset val="128"/>
    </font>
    <font>
      <sz val="10"/>
      <color indexed="12"/>
      <name val="ＭＳ Ｐゴシック"/>
      <family val="3"/>
      <charset val="128"/>
    </font>
    <font>
      <sz val="9"/>
      <color indexed="21"/>
      <name val="ＭＳ Ｐゴシック"/>
      <family val="3"/>
      <charset val="128"/>
    </font>
    <font>
      <sz val="10"/>
      <color rgb="FFFF0000"/>
      <name val="ＭＳ Ｐゴシック"/>
      <family val="3"/>
      <charset val="128"/>
    </font>
    <font>
      <sz val="9"/>
      <color rgb="FFFF0000"/>
      <name val="ＭＳ Ｐゴシック"/>
      <family val="3"/>
      <charset val="128"/>
    </font>
    <font>
      <sz val="10"/>
      <color rgb="FF008000"/>
      <name val="ＭＳ Ｐゴシック"/>
      <family val="3"/>
      <charset val="128"/>
    </font>
    <font>
      <b/>
      <sz val="10"/>
      <color rgb="FF008000"/>
      <name val="ＭＳ Ｐゴシック"/>
      <family val="3"/>
      <charset val="128"/>
    </font>
    <font>
      <b/>
      <sz val="11"/>
      <color rgb="FF008000"/>
      <name val="ＭＳ Ｐゴシック"/>
      <family val="3"/>
      <charset val="128"/>
    </font>
    <font>
      <b/>
      <sz val="10"/>
      <color rgb="FF008000"/>
      <name val="Arial"/>
      <family val="2"/>
    </font>
    <font>
      <sz val="10"/>
      <color theme="9" tint="-0.499984740745262"/>
      <name val="ＭＳ Ｐゴシック"/>
      <family val="3"/>
      <charset val="128"/>
    </font>
    <font>
      <sz val="11"/>
      <color theme="9" tint="-0.499984740745262"/>
      <name val="ＭＳ Ｐゴシック"/>
      <family val="3"/>
      <charset val="128"/>
    </font>
    <font>
      <sz val="11"/>
      <name val="Arial Unicode MS"/>
      <family val="3"/>
      <charset val="128"/>
    </font>
    <font>
      <b/>
      <sz val="10"/>
      <color theme="2" tint="-0.499984740745262"/>
      <name val="ＭＳ Ｐゴシック"/>
      <family val="3"/>
      <charset val="128"/>
    </font>
    <font>
      <sz val="10"/>
      <color theme="2" tint="-0.499984740745262"/>
      <name val="ＭＳ Ｐゴシック"/>
      <family val="3"/>
      <charset val="128"/>
    </font>
    <font>
      <b/>
      <sz val="10"/>
      <color rgb="FFFF0000"/>
      <name val="Arial"/>
      <family val="2"/>
    </font>
    <font>
      <b/>
      <sz val="10"/>
      <color rgb="FFFF0000"/>
      <name val="ＭＳ Ｐゴシック"/>
      <family val="3"/>
      <charset val="128"/>
    </font>
    <font>
      <b/>
      <sz val="11"/>
      <color rgb="FFFF0000"/>
      <name val="ＭＳ Ｐゴシック"/>
      <family val="3"/>
      <charset val="128"/>
    </font>
    <font>
      <vertAlign val="superscript"/>
      <sz val="9"/>
      <color rgb="FFFF0000"/>
      <name val="ＭＳ Ｐゴシック"/>
      <family val="3"/>
      <charset val="128"/>
    </font>
    <font>
      <sz val="10"/>
      <color rgb="FFFF0000"/>
      <name val="Arial"/>
      <family val="2"/>
    </font>
    <font>
      <vertAlign val="superscript"/>
      <sz val="10"/>
      <color rgb="FFFF0000"/>
      <name val="Arial"/>
      <family val="2"/>
    </font>
    <font>
      <sz val="10"/>
      <color theme="8" tint="-0.499984740745262"/>
      <name val="ＭＳ Ｐゴシック"/>
      <family val="3"/>
      <charset val="128"/>
    </font>
    <font>
      <b/>
      <sz val="10"/>
      <color theme="5"/>
      <name val="ＭＳ Ｐゴシック"/>
      <family val="3"/>
      <charset val="128"/>
    </font>
    <font>
      <sz val="10"/>
      <color theme="5"/>
      <name val="ＭＳ Ｐゴシック"/>
      <family val="3"/>
      <charset val="128"/>
    </font>
    <font>
      <b/>
      <sz val="11"/>
      <color theme="5"/>
      <name val="ＭＳ Ｐゴシック"/>
      <family val="3"/>
      <charset val="128"/>
    </font>
    <font>
      <b/>
      <sz val="9"/>
      <color theme="5"/>
      <name val="ＭＳ Ｐゴシック"/>
      <family val="3"/>
      <charset val="128"/>
    </font>
    <font>
      <sz val="9"/>
      <color theme="5"/>
      <name val="Arial"/>
      <family val="2"/>
    </font>
    <font>
      <vertAlign val="subscript"/>
      <sz val="11"/>
      <name val="ＭＳ Ｐゴシック"/>
      <family val="3"/>
      <charset val="128"/>
    </font>
    <font>
      <sz val="10"/>
      <color theme="9" tint="-0.249977111117893"/>
      <name val="ＭＳ Ｐゴシック"/>
      <family val="3"/>
      <charset val="128"/>
    </font>
    <font>
      <b/>
      <sz val="10"/>
      <color theme="9" tint="-0.249977111117893"/>
      <name val="ＭＳ Ｐゴシック"/>
      <family val="3"/>
      <charset val="128"/>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lightTrellis">
        <bgColor indexed="26"/>
      </patternFill>
    </fill>
    <fill>
      <patternFill patternType="solid">
        <fgColor indexed="50"/>
        <bgColor indexed="64"/>
      </patternFill>
    </fill>
    <fill>
      <patternFill patternType="lightTrellis">
        <bgColor indexed="22"/>
      </patternFill>
    </fill>
    <fill>
      <patternFill patternType="solid">
        <fgColor indexed="14"/>
        <bgColor indexed="64"/>
      </patternFill>
    </fill>
    <fill>
      <patternFill patternType="solid">
        <fgColor indexed="10"/>
        <bgColor indexed="64"/>
      </patternFill>
    </fill>
    <fill>
      <patternFill patternType="solid">
        <fgColor indexed="45"/>
        <bgColor indexed="64"/>
      </patternFill>
    </fill>
    <fill>
      <patternFill patternType="lightTrellis"/>
    </fill>
    <fill>
      <patternFill patternType="solid">
        <fgColor theme="1" tint="0.499984740745262"/>
        <bgColor indexed="64"/>
      </patternFill>
    </fill>
    <fill>
      <patternFill patternType="solid">
        <fgColor rgb="FFFFFF00"/>
        <bgColor indexed="64"/>
      </patternFill>
    </fill>
    <fill>
      <patternFill patternType="solid">
        <fgColor rgb="FFFFFFCC"/>
        <bgColor indexed="64"/>
      </patternFill>
    </fill>
    <fill>
      <patternFill patternType="solid">
        <fgColor theme="9"/>
        <bgColor indexed="64"/>
      </patternFill>
    </fill>
    <fill>
      <patternFill patternType="solid">
        <fgColor theme="0" tint="-0.249977111117893"/>
        <bgColor indexed="64"/>
      </patternFill>
    </fill>
    <fill>
      <patternFill patternType="solid">
        <fgColor rgb="FFFFFFCC"/>
        <bgColor rgb="FF000000"/>
      </patternFill>
    </fill>
    <fill>
      <patternFill patternType="solid">
        <fgColor rgb="FFFFFF00"/>
        <bgColor rgb="FF000000"/>
      </patternFill>
    </fill>
    <fill>
      <patternFill patternType="lightTrellis">
        <fgColor rgb="FF000000"/>
        <bgColor rgb="FFFFFFCC"/>
      </patternFill>
    </fill>
    <fill>
      <patternFill patternType="lightTrellis">
        <fgColor rgb="FF000000"/>
        <bgColor rgb="FFFFFF00"/>
      </patternFill>
    </fill>
    <fill>
      <patternFill patternType="solid">
        <fgColor rgb="FFCCFFFF"/>
        <bgColor indexed="64"/>
      </patternFill>
    </fill>
    <fill>
      <patternFill patternType="solid">
        <fgColor rgb="FFFF9900"/>
        <bgColor indexed="64"/>
      </patternFill>
    </fill>
    <fill>
      <patternFill patternType="solid">
        <fgColor rgb="FFFF99FF"/>
        <bgColor indexed="64"/>
      </patternFill>
    </fill>
    <fill>
      <patternFill patternType="solid">
        <fgColor rgb="FF99FF66"/>
        <bgColor indexed="64"/>
      </patternFill>
    </fill>
    <fill>
      <patternFill patternType="solid">
        <fgColor indexed="38"/>
        <bgColor indexed="64"/>
      </patternFill>
    </fill>
    <fill>
      <patternFill patternType="solid">
        <fgColor indexed="52"/>
        <bgColor indexed="64"/>
      </patternFill>
    </fill>
    <fill>
      <patternFill patternType="solid">
        <fgColor theme="0"/>
        <bgColor indexed="64"/>
      </patternFill>
    </fill>
    <fill>
      <patternFill patternType="solid">
        <fgColor indexed="34"/>
        <bgColor indexed="64"/>
      </patternFill>
    </fill>
    <fill>
      <patternFill patternType="solid">
        <fgColor rgb="FF00B0F0"/>
        <bgColor indexed="64"/>
      </patternFill>
    </fill>
    <fill>
      <patternFill patternType="lightGray">
        <bgColor indexed="26"/>
      </patternFill>
    </fill>
    <fill>
      <patternFill patternType="lightGray"/>
    </fill>
    <fill>
      <patternFill patternType="solid">
        <fgColor theme="9" tint="0.39997558519241921"/>
        <bgColor indexed="64"/>
      </patternFill>
    </fill>
    <fill>
      <patternFill patternType="solid">
        <fgColor theme="9" tint="0.39997558519241921"/>
        <bgColor rgb="FF000000"/>
      </patternFill>
    </fill>
  </fills>
  <borders count="2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style="medium">
        <color indexed="17"/>
      </left>
      <right/>
      <top style="hair">
        <color indexed="64"/>
      </top>
      <bottom style="hair">
        <color indexed="64"/>
      </bottom>
      <diagonal/>
    </border>
    <border>
      <left/>
      <right style="medium">
        <color indexed="17"/>
      </right>
      <top style="hair">
        <color indexed="64"/>
      </top>
      <bottom style="hair">
        <color indexed="64"/>
      </bottom>
      <diagonal/>
    </border>
    <border>
      <left style="medium">
        <color indexed="17"/>
      </left>
      <right/>
      <top style="hair">
        <color indexed="64"/>
      </top>
      <bottom style="medium">
        <color indexed="17"/>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top/>
      <bottom/>
      <diagonal/>
    </border>
    <border>
      <left style="medium">
        <color indexed="64"/>
      </left>
      <right style="medium">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style="dashed">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dashed">
        <color indexed="64"/>
      </right>
      <top style="medium">
        <color indexed="64"/>
      </top>
      <bottom/>
      <diagonal/>
    </border>
    <border>
      <left style="medium">
        <color indexed="64"/>
      </left>
      <right style="medium">
        <color indexed="64"/>
      </right>
      <top style="thin">
        <color indexed="64"/>
      </top>
      <bottom style="medium">
        <color indexed="64"/>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23"/>
      </top>
      <bottom/>
      <diagonal/>
    </border>
    <border>
      <left style="thin">
        <color indexed="64"/>
      </left>
      <right style="dashed">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dashed">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23"/>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23"/>
      </bottom>
      <diagonal/>
    </border>
    <border>
      <left style="thin">
        <color indexed="64"/>
      </left>
      <right style="thin">
        <color indexed="64"/>
      </right>
      <top style="medium">
        <color indexed="23"/>
      </top>
      <bottom style="medium">
        <color indexed="23"/>
      </bottom>
      <diagonal/>
    </border>
    <border>
      <left style="thin">
        <color indexed="64"/>
      </left>
      <right style="thin">
        <color indexed="64"/>
      </right>
      <top style="medium">
        <color indexed="23"/>
      </top>
      <bottom style="thin">
        <color indexed="64"/>
      </bottom>
      <diagonal/>
    </border>
    <border>
      <left style="thin">
        <color indexed="64"/>
      </left>
      <right style="medium">
        <color indexed="64"/>
      </right>
      <top style="medium">
        <color indexed="23"/>
      </top>
      <bottom style="thin">
        <color indexed="64"/>
      </bottom>
      <diagonal/>
    </border>
    <border>
      <left style="medium">
        <color indexed="64"/>
      </left>
      <right style="medium">
        <color indexed="64"/>
      </right>
      <top style="medium">
        <color indexed="23"/>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23"/>
      </bottom>
      <diagonal/>
    </border>
    <border>
      <left style="thin">
        <color indexed="64"/>
      </left>
      <right/>
      <top style="medium">
        <color indexed="23"/>
      </top>
      <bottom style="medium">
        <color indexed="23"/>
      </bottom>
      <diagonal/>
    </border>
    <border>
      <left style="thin">
        <color indexed="64"/>
      </left>
      <right/>
      <top style="medium">
        <color indexed="23"/>
      </top>
      <bottom style="thin">
        <color indexed="64"/>
      </bottom>
      <diagonal/>
    </border>
    <border>
      <left style="medium">
        <color indexed="64"/>
      </left>
      <right style="dashed">
        <color indexed="64"/>
      </right>
      <top/>
      <bottom/>
      <diagonal/>
    </border>
    <border>
      <left style="medium">
        <color indexed="64"/>
      </left>
      <right style="thin">
        <color indexed="64"/>
      </right>
      <top style="medium">
        <color indexed="64"/>
      </top>
      <bottom style="medium">
        <color indexed="23"/>
      </bottom>
      <diagonal/>
    </border>
    <border>
      <left style="thin">
        <color indexed="64"/>
      </left>
      <right style="medium">
        <color indexed="64"/>
      </right>
      <top style="medium">
        <color indexed="64"/>
      </top>
      <bottom style="medium">
        <color indexed="23"/>
      </bottom>
      <diagonal/>
    </border>
    <border>
      <left style="medium">
        <color indexed="64"/>
      </left>
      <right style="thin">
        <color indexed="64"/>
      </right>
      <top style="medium">
        <color indexed="23"/>
      </top>
      <bottom style="medium">
        <color indexed="23"/>
      </bottom>
      <diagonal/>
    </border>
    <border>
      <left style="thin">
        <color indexed="64"/>
      </left>
      <right style="medium">
        <color indexed="64"/>
      </right>
      <top style="medium">
        <color indexed="23"/>
      </top>
      <bottom style="medium">
        <color indexed="23"/>
      </bottom>
      <diagonal/>
    </border>
    <border>
      <left style="medium">
        <color indexed="64"/>
      </left>
      <right style="thin">
        <color indexed="64"/>
      </right>
      <top style="medium">
        <color indexed="23"/>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23"/>
      </top>
      <bottom/>
      <diagonal/>
    </border>
    <border>
      <left style="thin">
        <color indexed="64"/>
      </left>
      <right style="dashed">
        <color indexed="64"/>
      </right>
      <top style="medium">
        <color theme="0" tint="-0.499984740745262"/>
      </top>
      <bottom style="medium">
        <color indexed="64"/>
      </bottom>
      <diagonal/>
    </border>
    <border>
      <left style="thin">
        <color indexed="64"/>
      </left>
      <right style="thin">
        <color indexed="64"/>
      </right>
      <top style="medium">
        <color indexed="64"/>
      </top>
      <bottom style="medium">
        <color indexed="64"/>
      </bottom>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7"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7" fillId="0" borderId="0"/>
    <xf numFmtId="0" fontId="7" fillId="0" borderId="0"/>
    <xf numFmtId="0" fontId="20" fillId="0" borderId="0"/>
    <xf numFmtId="0" fontId="21" fillId="4" borderId="0" applyNumberFormat="0" applyBorder="0" applyAlignment="0" applyProtection="0">
      <alignment vertical="center"/>
    </xf>
    <xf numFmtId="0" fontId="1" fillId="0" borderId="0">
      <alignment vertical="center"/>
    </xf>
  </cellStyleXfs>
  <cellXfs count="3611">
    <xf numFmtId="0" fontId="0" fillId="0" borderId="0" xfId="0">
      <alignment vertical="center"/>
    </xf>
    <xf numFmtId="0" fontId="0" fillId="0" borderId="10" xfId="0" applyBorder="1">
      <alignment vertical="center"/>
    </xf>
    <xf numFmtId="0" fontId="0" fillId="0" borderId="15" xfId="0" applyBorder="1">
      <alignment vertical="center"/>
    </xf>
    <xf numFmtId="0" fontId="7" fillId="27" borderId="0" xfId="0" applyFont="1" applyFill="1" applyProtection="1">
      <alignment vertical="center"/>
    </xf>
    <xf numFmtId="0" fontId="12" fillId="27" borderId="0" xfId="0" applyFont="1" applyFill="1" applyAlignment="1" applyProtection="1">
      <alignment vertical="center"/>
    </xf>
    <xf numFmtId="0" fontId="25" fillId="28" borderId="0" xfId="0" applyFont="1" applyFill="1" applyBorder="1" applyAlignment="1" applyProtection="1">
      <alignment horizontal="centerContinuous" vertical="center"/>
      <protection hidden="1"/>
    </xf>
    <xf numFmtId="0" fontId="26" fillId="28" borderId="0" xfId="0" applyFont="1" applyFill="1" applyBorder="1" applyAlignment="1" applyProtection="1">
      <alignment horizontal="centerContinuous" vertical="center"/>
      <protection hidden="1"/>
    </xf>
    <xf numFmtId="0" fontId="25" fillId="28" borderId="0" xfId="0" applyFont="1" applyFill="1" applyBorder="1" applyAlignment="1" applyProtection="1">
      <alignment horizontal="centerContinuous" vertical="top"/>
      <protection hidden="1"/>
    </xf>
    <xf numFmtId="0" fontId="0" fillId="27" borderId="0" xfId="0" applyFill="1" applyAlignment="1" applyProtection="1">
      <alignment vertical="center"/>
    </xf>
    <xf numFmtId="0" fontId="27" fillId="27" borderId="0" xfId="0" applyFont="1" applyFill="1" applyBorder="1" applyAlignment="1">
      <alignment horizontal="left" vertical="center"/>
    </xf>
    <xf numFmtId="0" fontId="28" fillId="27" borderId="0" xfId="0" applyFont="1" applyFill="1" applyBorder="1" applyAlignment="1" applyProtection="1">
      <alignment horizontal="left" vertical="center"/>
    </xf>
    <xf numFmtId="0" fontId="0" fillId="27" borderId="0" xfId="0" applyFill="1" applyAlignment="1" applyProtection="1">
      <alignment vertical="center"/>
      <protection hidden="1"/>
    </xf>
    <xf numFmtId="0" fontId="29" fillId="27" borderId="0" xfId="0" applyFont="1" applyFill="1" applyBorder="1" applyAlignment="1">
      <alignment horizontal="left" vertical="center"/>
    </xf>
    <xf numFmtId="0" fontId="30" fillId="27" borderId="0" xfId="0" applyFont="1" applyFill="1" applyBorder="1" applyAlignment="1">
      <alignment horizontal="left" vertical="center"/>
    </xf>
    <xf numFmtId="0" fontId="31" fillId="0" borderId="18" xfId="0" applyFont="1" applyBorder="1" applyAlignment="1" applyProtection="1">
      <alignment vertical="center"/>
      <protection hidden="1"/>
    </xf>
    <xf numFmtId="0" fontId="0" fillId="0" borderId="19" xfId="0" applyFill="1" applyBorder="1" applyAlignment="1" applyProtection="1">
      <alignment vertical="center"/>
      <protection hidden="1"/>
    </xf>
    <xf numFmtId="0" fontId="0" fillId="0" borderId="20" xfId="0" applyFill="1" applyBorder="1" applyAlignment="1" applyProtection="1">
      <alignment vertical="center"/>
      <protection hidden="1"/>
    </xf>
    <xf numFmtId="0" fontId="32" fillId="28" borderId="21" xfId="0" applyFont="1" applyFill="1" applyBorder="1" applyAlignment="1" applyProtection="1">
      <alignment vertical="center"/>
      <protection hidden="1"/>
    </xf>
    <xf numFmtId="0" fontId="33" fillId="28" borderId="22" xfId="0" applyFont="1" applyFill="1" applyBorder="1" applyAlignment="1" applyProtection="1">
      <alignment vertical="center"/>
      <protection hidden="1"/>
    </xf>
    <xf numFmtId="0" fontId="33" fillId="28" borderId="23" xfId="0" applyFont="1" applyFill="1" applyBorder="1" applyAlignment="1" applyProtection="1">
      <alignment vertical="center"/>
      <protection hidden="1"/>
    </xf>
    <xf numFmtId="0" fontId="32" fillId="28" borderId="24" xfId="0" applyFont="1" applyFill="1" applyBorder="1" applyAlignment="1" applyProtection="1">
      <alignment vertical="center"/>
      <protection hidden="1"/>
    </xf>
    <xf numFmtId="0" fontId="33" fillId="28" borderId="0" xfId="0" applyFont="1" applyFill="1" applyBorder="1" applyAlignment="1" applyProtection="1">
      <alignment vertical="center"/>
      <protection hidden="1"/>
    </xf>
    <xf numFmtId="0" fontId="33" fillId="28" borderId="25" xfId="0" applyFont="1" applyFill="1" applyBorder="1" applyAlignment="1" applyProtection="1">
      <alignment vertical="center"/>
      <protection hidden="1"/>
    </xf>
    <xf numFmtId="0" fontId="0" fillId="27" borderId="0" xfId="0" applyFill="1" applyProtection="1">
      <alignment vertical="center"/>
    </xf>
    <xf numFmtId="49" fontId="34" fillId="27" borderId="24" xfId="0" applyNumberFormat="1" applyFont="1" applyFill="1" applyBorder="1" applyAlignment="1" applyProtection="1">
      <protection hidden="1"/>
    </xf>
    <xf numFmtId="0" fontId="34" fillId="0" borderId="10" xfId="0" applyFont="1" applyFill="1" applyBorder="1" applyAlignment="1" applyProtection="1">
      <alignment horizontal="right" vertical="center"/>
      <protection locked="0"/>
    </xf>
    <xf numFmtId="179" fontId="7" fillId="27" borderId="0" xfId="0" applyNumberFormat="1" applyFont="1" applyFill="1" applyBorder="1" applyAlignment="1" applyProtection="1">
      <alignment horizontal="right" vertical="center"/>
    </xf>
    <xf numFmtId="179" fontId="7" fillId="27" borderId="25" xfId="0" applyNumberFormat="1" applyFont="1" applyFill="1" applyBorder="1" applyAlignment="1" applyProtection="1">
      <alignment horizontal="right" vertical="center"/>
    </xf>
    <xf numFmtId="0" fontId="34" fillId="27" borderId="24" xfId="0" applyFont="1" applyFill="1" applyBorder="1" applyAlignment="1" applyProtection="1">
      <protection hidden="1"/>
    </xf>
    <xf numFmtId="0" fontId="34" fillId="0" borderId="26" xfId="0" applyFont="1" applyFill="1" applyBorder="1" applyAlignment="1" applyProtection="1">
      <alignment horizontal="left" vertical="center"/>
      <protection locked="0"/>
    </xf>
    <xf numFmtId="0" fontId="34" fillId="29" borderId="27" xfId="0" applyFont="1" applyFill="1" applyBorder="1" applyAlignment="1" applyProtection="1">
      <alignment horizontal="left" vertical="center"/>
      <protection locked="0"/>
    </xf>
    <xf numFmtId="0" fontId="36" fillId="0" borderId="28" xfId="0" applyFont="1" applyFill="1" applyBorder="1" applyAlignment="1" applyProtection="1">
      <alignment horizontal="center" vertical="center"/>
      <protection locked="0"/>
    </xf>
    <xf numFmtId="55" fontId="34" fillId="0" borderId="10" xfId="0" applyNumberFormat="1" applyFont="1" applyFill="1" applyBorder="1" applyAlignment="1" applyProtection="1">
      <alignment horizontal="right" vertical="center"/>
      <protection locked="0"/>
    </xf>
    <xf numFmtId="179" fontId="34" fillId="0" borderId="10" xfId="35" applyNumberFormat="1" applyFont="1" applyFill="1" applyBorder="1" applyAlignment="1" applyProtection="1">
      <alignment horizontal="right" vertical="center"/>
      <protection locked="0"/>
    </xf>
    <xf numFmtId="0" fontId="29" fillId="27" borderId="0" xfId="0" applyFont="1" applyFill="1" applyBorder="1" applyAlignment="1" applyProtection="1">
      <alignment horizontal="left" vertical="center"/>
      <protection hidden="1"/>
    </xf>
    <xf numFmtId="40" fontId="7" fillId="27" borderId="10" xfId="35" applyNumberFormat="1" applyFont="1" applyFill="1" applyBorder="1" applyAlignment="1" applyProtection="1">
      <alignment horizontal="right" vertical="center"/>
    </xf>
    <xf numFmtId="0" fontId="34" fillId="27" borderId="24" xfId="0" applyFont="1" applyFill="1" applyBorder="1" applyAlignment="1" applyProtection="1">
      <alignment horizontal="left"/>
      <protection hidden="1"/>
    </xf>
    <xf numFmtId="181" fontId="34" fillId="0" borderId="10" xfId="0" applyNumberFormat="1" applyFont="1" applyFill="1" applyBorder="1" applyAlignment="1" applyProtection="1">
      <alignment horizontal="right" vertical="center"/>
      <protection locked="0"/>
    </xf>
    <xf numFmtId="0" fontId="34" fillId="27" borderId="0" xfId="0" applyFont="1" applyFill="1" applyBorder="1" applyAlignment="1" applyProtection="1">
      <protection hidden="1"/>
    </xf>
    <xf numFmtId="0" fontId="34" fillId="27" borderId="25" xfId="0" applyFont="1" applyFill="1" applyBorder="1" applyAlignment="1" applyProtection="1">
      <protection hidden="1"/>
    </xf>
    <xf numFmtId="0" fontId="0" fillId="27" borderId="0" xfId="0" applyFill="1" applyAlignment="1" applyProtection="1"/>
    <xf numFmtId="0" fontId="32" fillId="28" borderId="29" xfId="0" applyFont="1" applyFill="1" applyBorder="1" applyAlignment="1" applyProtection="1">
      <alignment vertical="center"/>
      <protection hidden="1"/>
    </xf>
    <xf numFmtId="0" fontId="33" fillId="28" borderId="19" xfId="0" applyFont="1" applyFill="1" applyBorder="1" applyAlignment="1" applyProtection="1">
      <alignment vertical="center"/>
      <protection hidden="1"/>
    </xf>
    <xf numFmtId="0" fontId="33" fillId="28" borderId="20" xfId="0" applyFont="1" applyFill="1" applyBorder="1" applyAlignment="1" applyProtection="1">
      <alignment vertical="center"/>
      <protection hidden="1"/>
    </xf>
    <xf numFmtId="31" fontId="34" fillId="0" borderId="10" xfId="0" applyNumberFormat="1" applyFont="1" applyFill="1" applyBorder="1" applyAlignment="1" applyProtection="1">
      <alignment horizontal="right" vertical="center"/>
      <protection locked="0"/>
    </xf>
    <xf numFmtId="0" fontId="34" fillId="27" borderId="0" xfId="0" applyFont="1" applyFill="1" applyBorder="1" applyAlignment="1" applyProtection="1">
      <alignment vertical="center"/>
    </xf>
    <xf numFmtId="0" fontId="36" fillId="0" borderId="31" xfId="0" applyFont="1" applyFill="1" applyBorder="1" applyAlignment="1" applyProtection="1">
      <alignment horizontal="right" vertical="center"/>
      <protection locked="0"/>
    </xf>
    <xf numFmtId="0" fontId="39" fillId="27" borderId="32" xfId="0" applyFont="1" applyFill="1" applyBorder="1" applyAlignment="1" applyProtection="1">
      <alignment vertical="center"/>
      <protection hidden="1"/>
    </xf>
    <xf numFmtId="0" fontId="0" fillId="27" borderId="33" xfId="0" applyFill="1" applyBorder="1" applyAlignment="1" applyProtection="1">
      <protection hidden="1"/>
    </xf>
    <xf numFmtId="0" fontId="34" fillId="27" borderId="0" xfId="0" applyFont="1" applyFill="1" applyProtection="1">
      <alignment vertical="center"/>
    </xf>
    <xf numFmtId="0" fontId="34" fillId="27" borderId="19" xfId="0" applyFont="1" applyFill="1" applyBorder="1" applyAlignment="1" applyProtection="1">
      <alignment horizontal="left" vertical="top" wrapText="1"/>
      <protection hidden="1"/>
    </xf>
    <xf numFmtId="0" fontId="31" fillId="0" borderId="34" xfId="0" applyFont="1" applyFill="1" applyBorder="1" applyAlignment="1" applyProtection="1">
      <alignment vertical="center"/>
      <protection hidden="1"/>
    </xf>
    <xf numFmtId="0" fontId="31" fillId="0" borderId="35" xfId="0" applyFont="1" applyFill="1" applyBorder="1" applyAlignment="1" applyProtection="1">
      <alignment vertical="center"/>
      <protection hidden="1"/>
    </xf>
    <xf numFmtId="0" fontId="31" fillId="0" borderId="36" xfId="0" applyFont="1" applyFill="1" applyBorder="1" applyAlignment="1" applyProtection="1">
      <alignment vertical="center"/>
      <protection hidden="1"/>
    </xf>
    <xf numFmtId="0" fontId="32" fillId="28" borderId="24" xfId="0" applyFont="1" applyFill="1" applyBorder="1" applyAlignment="1" applyProtection="1">
      <alignment horizontal="center" vertical="center"/>
      <protection hidden="1"/>
    </xf>
    <xf numFmtId="0" fontId="32" fillId="28" borderId="37" xfId="0" applyFont="1" applyFill="1" applyBorder="1" applyAlignment="1" applyProtection="1">
      <alignment horizontal="center" vertical="center"/>
      <protection hidden="1"/>
    </xf>
    <xf numFmtId="0" fontId="32" fillId="28" borderId="25" xfId="0" applyFont="1" applyFill="1" applyBorder="1" applyAlignment="1" applyProtection="1">
      <alignment horizontal="center" vertical="center"/>
      <protection hidden="1"/>
    </xf>
    <xf numFmtId="0" fontId="34" fillId="27" borderId="18" xfId="0" applyFont="1" applyFill="1" applyBorder="1" applyAlignment="1" applyProtection="1">
      <alignment vertical="center"/>
      <protection hidden="1"/>
    </xf>
    <xf numFmtId="179" fontId="7" fillId="0" borderId="10" xfId="35" applyNumberFormat="1" applyFont="1" applyFill="1" applyBorder="1" applyAlignment="1" applyProtection="1">
      <alignment horizontal="right" vertical="center"/>
      <protection locked="0"/>
    </xf>
    <xf numFmtId="0" fontId="34" fillId="27" borderId="24" xfId="0" applyFont="1" applyFill="1" applyBorder="1" applyAlignment="1" applyProtection="1">
      <alignment vertical="center"/>
      <protection hidden="1"/>
    </xf>
    <xf numFmtId="0" fontId="34" fillId="27" borderId="24" xfId="0" applyFont="1" applyFill="1" applyBorder="1" applyProtection="1">
      <alignment vertical="center"/>
      <protection hidden="1"/>
    </xf>
    <xf numFmtId="0" fontId="34" fillId="27" borderId="0" xfId="0" applyFont="1" applyFill="1" applyBorder="1" applyProtection="1">
      <alignment vertical="center"/>
      <protection hidden="1"/>
    </xf>
    <xf numFmtId="0" fontId="7" fillId="0" borderId="28" xfId="0" applyFont="1" applyFill="1" applyBorder="1" applyAlignment="1" applyProtection="1">
      <alignment horizontal="center" vertical="center"/>
      <protection locked="0"/>
    </xf>
    <xf numFmtId="0" fontId="34" fillId="27" borderId="30" xfId="0" applyFont="1" applyFill="1" applyBorder="1" applyProtection="1">
      <alignment vertical="center"/>
      <protection hidden="1"/>
    </xf>
    <xf numFmtId="0" fontId="34" fillId="27" borderId="32" xfId="0" applyFont="1" applyFill="1" applyBorder="1" applyProtection="1">
      <alignment vertical="center"/>
      <protection hidden="1"/>
    </xf>
    <xf numFmtId="0" fontId="34" fillId="27" borderId="33" xfId="0" applyFont="1" applyFill="1" applyBorder="1" applyProtection="1">
      <alignment vertical="center"/>
      <protection hidden="1"/>
    </xf>
    <xf numFmtId="0" fontId="31" fillId="0" borderId="29" xfId="0" applyFont="1" applyBorder="1" applyAlignment="1" applyProtection="1">
      <alignment vertical="center"/>
      <protection hidden="1"/>
    </xf>
    <xf numFmtId="0" fontId="42" fillId="0" borderId="38" xfId="0" applyFont="1" applyFill="1" applyBorder="1" applyAlignment="1" applyProtection="1">
      <alignment horizontal="left" vertical="center" indent="1"/>
      <protection hidden="1"/>
    </xf>
    <xf numFmtId="0" fontId="42" fillId="0" borderId="38" xfId="0" applyFont="1" applyFill="1" applyBorder="1" applyAlignment="1" applyProtection="1">
      <alignment horizontal="right" vertical="center"/>
      <protection hidden="1"/>
    </xf>
    <xf numFmtId="0" fontId="42" fillId="0" borderId="39" xfId="0" applyFont="1" applyFill="1" applyBorder="1" applyAlignment="1" applyProtection="1">
      <alignment horizontal="right" vertical="center"/>
      <protection hidden="1"/>
    </xf>
    <xf numFmtId="0" fontId="32" fillId="28" borderId="40" xfId="0" applyFont="1" applyFill="1" applyBorder="1" applyAlignment="1" applyProtection="1">
      <alignment vertical="center"/>
      <protection hidden="1"/>
    </xf>
    <xf numFmtId="0" fontId="43" fillId="27" borderId="41" xfId="29" applyFont="1" applyFill="1" applyBorder="1" applyAlignment="1" applyProtection="1">
      <alignment horizontal="left" vertical="center" indent="1"/>
      <protection hidden="1"/>
    </xf>
    <xf numFmtId="0" fontId="0" fillId="27" borderId="42" xfId="0" applyFill="1" applyBorder="1" applyAlignment="1" applyProtection="1">
      <alignment horizontal="left" vertical="center" indent="1"/>
      <protection hidden="1"/>
    </xf>
    <xf numFmtId="0" fontId="0" fillId="27" borderId="43" xfId="0" applyFill="1" applyBorder="1" applyAlignment="1" applyProtection="1">
      <alignment horizontal="left" vertical="center" indent="1"/>
      <protection hidden="1"/>
    </xf>
    <xf numFmtId="0" fontId="32" fillId="28" borderId="44" xfId="0" applyFont="1" applyFill="1" applyBorder="1" applyAlignment="1" applyProtection="1">
      <alignment vertical="center"/>
      <protection hidden="1"/>
    </xf>
    <xf numFmtId="0" fontId="43" fillId="27" borderId="45" xfId="29" applyFont="1" applyFill="1" applyBorder="1" applyAlignment="1" applyProtection="1">
      <alignment horizontal="left" vertical="center" indent="1"/>
      <protection hidden="1"/>
    </xf>
    <xf numFmtId="0" fontId="43" fillId="27" borderId="13" xfId="29" applyFont="1" applyFill="1" applyBorder="1" applyAlignment="1" applyProtection="1">
      <alignment horizontal="left" vertical="center" indent="1"/>
      <protection hidden="1"/>
    </xf>
    <xf numFmtId="0" fontId="0" fillId="27" borderId="46" xfId="0" applyFill="1" applyBorder="1" applyAlignment="1" applyProtection="1">
      <alignment horizontal="left" vertical="center" indent="1"/>
      <protection hidden="1"/>
    </xf>
    <xf numFmtId="0" fontId="43" fillId="27" borderId="47" xfId="29" applyFont="1" applyFill="1" applyBorder="1" applyAlignment="1" applyProtection="1">
      <alignment horizontal="left" vertical="center" indent="1"/>
      <protection hidden="1"/>
    </xf>
    <xf numFmtId="0" fontId="43" fillId="27" borderId="48" xfId="29" applyFont="1" applyFill="1" applyBorder="1" applyAlignment="1" applyProtection="1">
      <alignment horizontal="left" vertical="center" indent="1"/>
      <protection hidden="1"/>
    </xf>
    <xf numFmtId="0" fontId="0" fillId="27" borderId="49" xfId="0" applyFill="1" applyBorder="1" applyAlignment="1" applyProtection="1">
      <alignment horizontal="left" vertical="center" indent="1"/>
      <protection hidden="1"/>
    </xf>
    <xf numFmtId="0" fontId="33" fillId="27" borderId="50" xfId="0" applyFont="1" applyFill="1" applyBorder="1" applyAlignment="1" applyProtection="1">
      <alignment horizontal="left" vertical="top"/>
      <protection hidden="1"/>
    </xf>
    <xf numFmtId="0" fontId="34" fillId="27" borderId="27" xfId="0" applyFont="1" applyFill="1" applyBorder="1" applyAlignment="1" applyProtection="1">
      <alignment horizontal="left" vertical="top"/>
    </xf>
    <xf numFmtId="0" fontId="34" fillId="27" borderId="53" xfId="0" applyFont="1" applyFill="1" applyBorder="1" applyAlignment="1" applyProtection="1">
      <alignment horizontal="left" vertical="top"/>
      <protection hidden="1"/>
    </xf>
    <xf numFmtId="0" fontId="34" fillId="27" borderId="54" xfId="0" applyFont="1" applyFill="1" applyBorder="1" applyAlignment="1" applyProtection="1">
      <alignment horizontal="left" vertical="top"/>
    </xf>
    <xf numFmtId="0" fontId="34" fillId="27" borderId="0" xfId="0" applyFont="1" applyFill="1" applyBorder="1" applyAlignment="1" applyProtection="1">
      <alignment horizontal="left" vertical="top"/>
    </xf>
    <xf numFmtId="0" fontId="34" fillId="27" borderId="13" xfId="0" applyFont="1" applyFill="1" applyBorder="1" applyAlignment="1" applyProtection="1">
      <alignment horizontal="left" vertical="top"/>
      <protection hidden="1"/>
    </xf>
    <xf numFmtId="0" fontId="34" fillId="27" borderId="14" xfId="0" applyFont="1" applyFill="1" applyBorder="1" applyAlignment="1" applyProtection="1">
      <alignment horizontal="left" vertical="top"/>
    </xf>
    <xf numFmtId="0" fontId="44" fillId="27" borderId="13" xfId="0" applyFont="1" applyFill="1" applyBorder="1" applyAlignment="1" applyProtection="1">
      <alignment horizontal="left" vertical="top"/>
      <protection hidden="1"/>
    </xf>
    <xf numFmtId="0" fontId="44" fillId="27" borderId="57" xfId="0" applyFont="1" applyFill="1" applyBorder="1" applyAlignment="1" applyProtection="1">
      <alignment horizontal="left" vertical="top"/>
      <protection hidden="1"/>
    </xf>
    <xf numFmtId="0" fontId="34" fillId="27" borderId="58" xfId="0" applyFont="1" applyFill="1" applyBorder="1" applyAlignment="1" applyProtection="1">
      <alignment horizontal="left" vertical="top"/>
    </xf>
    <xf numFmtId="0" fontId="0" fillId="0" borderId="0" xfId="0" applyProtection="1">
      <alignment vertical="center"/>
    </xf>
    <xf numFmtId="0" fontId="45" fillId="30" borderId="59" xfId="0" applyFont="1" applyFill="1" applyBorder="1" applyAlignment="1" applyProtection="1">
      <alignment vertical="center"/>
    </xf>
    <xf numFmtId="0" fontId="33" fillId="30" borderId="60" xfId="45" applyFont="1" applyFill="1" applyBorder="1" applyAlignment="1" applyProtection="1">
      <alignment vertical="center"/>
      <protection hidden="1"/>
    </xf>
    <xf numFmtId="0" fontId="33" fillId="30" borderId="60" xfId="45" applyFont="1" applyFill="1" applyBorder="1" applyAlignment="1" applyProtection="1">
      <alignment horizontal="left" vertical="center"/>
      <protection hidden="1"/>
    </xf>
    <xf numFmtId="0" fontId="33" fillId="30" borderId="61" xfId="45" applyFont="1" applyFill="1" applyBorder="1" applyAlignment="1" applyProtection="1">
      <alignment vertical="center"/>
      <protection hidden="1"/>
    </xf>
    <xf numFmtId="0" fontId="46" fillId="0" borderId="0" xfId="0" applyFont="1" applyProtection="1">
      <alignment vertical="center"/>
    </xf>
    <xf numFmtId="0" fontId="7" fillId="27" borderId="62" xfId="45" applyFont="1" applyFill="1" applyBorder="1" applyAlignment="1" applyProtection="1"/>
    <xf numFmtId="0" fontId="7" fillId="27" borderId="0" xfId="45" applyNumberFormat="1" applyFont="1" applyFill="1" applyBorder="1" applyAlignment="1" applyProtection="1">
      <alignment vertical="center"/>
      <protection hidden="1"/>
    </xf>
    <xf numFmtId="0" fontId="7" fillId="27" borderId="0" xfId="45" applyFont="1" applyFill="1" applyBorder="1" applyAlignment="1" applyProtection="1">
      <alignment horizontal="left" vertical="center"/>
      <protection hidden="1"/>
    </xf>
    <xf numFmtId="0" fontId="7" fillId="27" borderId="0" xfId="45" applyFont="1" applyFill="1" applyBorder="1" applyAlignment="1" applyProtection="1">
      <alignment vertical="center"/>
      <protection hidden="1"/>
    </xf>
    <xf numFmtId="0" fontId="7" fillId="27" borderId="63" xfId="0" applyFont="1" applyFill="1" applyBorder="1" applyProtection="1">
      <alignment vertical="center"/>
    </xf>
    <xf numFmtId="0" fontId="7" fillId="27" borderId="53" xfId="0" applyFont="1" applyFill="1" applyBorder="1" applyProtection="1">
      <alignment vertical="center"/>
    </xf>
    <xf numFmtId="0" fontId="0" fillId="27" borderId="54" xfId="0" applyFill="1" applyBorder="1" applyProtection="1">
      <alignment vertical="center"/>
    </xf>
    <xf numFmtId="0" fontId="0" fillId="0" borderId="10" xfId="0" applyBorder="1" applyProtection="1">
      <alignment vertical="center"/>
      <protection locked="0"/>
    </xf>
    <xf numFmtId="0" fontId="7" fillId="27" borderId="62" xfId="45" applyFont="1" applyFill="1" applyBorder="1" applyAlignment="1" applyProtection="1">
      <alignment vertical="center"/>
    </xf>
    <xf numFmtId="0" fontId="2" fillId="31" borderId="51" xfId="0" applyFont="1" applyFill="1" applyBorder="1" applyAlignment="1">
      <alignment horizontal="center" vertical="center" wrapText="1"/>
    </xf>
    <xf numFmtId="0" fontId="7" fillId="27" borderId="0" xfId="0" applyFont="1" applyFill="1" applyBorder="1">
      <alignment vertical="center"/>
    </xf>
    <xf numFmtId="0" fontId="7" fillId="27" borderId="63" xfId="0" applyFont="1" applyFill="1" applyBorder="1">
      <alignment vertical="center"/>
    </xf>
    <xf numFmtId="0" fontId="7" fillId="27" borderId="64" xfId="0" applyFont="1" applyFill="1" applyBorder="1">
      <alignment vertical="center"/>
    </xf>
    <xf numFmtId="0" fontId="0" fillId="27" borderId="17" xfId="0" applyFill="1" applyBorder="1">
      <alignment vertical="center"/>
    </xf>
    <xf numFmtId="203" fontId="7" fillId="27" borderId="26" xfId="45" applyNumberFormat="1" applyFont="1" applyFill="1" applyBorder="1" applyAlignment="1" applyProtection="1">
      <alignment vertical="center" shrinkToFit="1"/>
      <protection hidden="1"/>
    </xf>
    <xf numFmtId="0" fontId="7" fillId="27" borderId="10" xfId="35" applyNumberFormat="1" applyFont="1" applyFill="1" applyBorder="1" applyAlignment="1" applyProtection="1">
      <alignment horizontal="right" vertical="center" shrinkToFit="1"/>
    </xf>
    <xf numFmtId="0" fontId="7" fillId="27" borderId="10" xfId="45" applyFont="1" applyFill="1" applyBorder="1" applyAlignment="1" applyProtection="1">
      <alignment vertical="center"/>
      <protection hidden="1"/>
    </xf>
    <xf numFmtId="202" fontId="7" fillId="27" borderId="10" xfId="45" applyNumberFormat="1" applyFont="1" applyFill="1" applyBorder="1" applyAlignment="1" applyProtection="1">
      <alignment vertical="center"/>
      <protection hidden="1"/>
    </xf>
    <xf numFmtId="0" fontId="7" fillId="27" borderId="17" xfId="0" applyFont="1" applyFill="1" applyBorder="1">
      <alignment vertical="center"/>
    </xf>
    <xf numFmtId="0" fontId="7" fillId="27" borderId="0" xfId="0" applyFont="1" applyFill="1" applyBorder="1" applyAlignment="1">
      <alignment vertical="center"/>
    </xf>
    <xf numFmtId="0" fontId="2" fillId="31" borderId="10" xfId="0" applyFont="1" applyFill="1" applyBorder="1" applyAlignment="1">
      <alignment horizontal="center" vertical="center" wrapText="1"/>
    </xf>
    <xf numFmtId="0" fontId="7" fillId="27" borderId="26" xfId="45" applyFont="1" applyFill="1" applyBorder="1" applyAlignment="1" applyProtection="1">
      <alignment vertical="center"/>
      <protection locked="0"/>
    </xf>
    <xf numFmtId="0" fontId="7" fillId="27" borderId="10" xfId="45" applyFont="1" applyFill="1" applyBorder="1" applyAlignment="1" applyProtection="1">
      <alignment vertical="center"/>
      <protection locked="0"/>
    </xf>
    <xf numFmtId="0" fontId="7" fillId="27" borderId="62" xfId="45" applyFont="1" applyFill="1" applyBorder="1" applyAlignment="1" applyProtection="1">
      <alignment horizontal="right" vertical="top"/>
    </xf>
    <xf numFmtId="0" fontId="0" fillId="27" borderId="0" xfId="0" applyFill="1" applyBorder="1">
      <alignment vertical="center"/>
    </xf>
    <xf numFmtId="0" fontId="2" fillId="27" borderId="10" xfId="0" applyFont="1" applyFill="1" applyBorder="1" applyAlignment="1">
      <alignment horizontal="center" vertical="center" wrapText="1"/>
    </xf>
    <xf numFmtId="0" fontId="7" fillId="27" borderId="10" xfId="45" applyFont="1" applyFill="1" applyBorder="1" applyAlignment="1" applyProtection="1">
      <alignment vertical="center"/>
    </xf>
    <xf numFmtId="0" fontId="7" fillId="27" borderId="62" xfId="0" applyFont="1" applyFill="1" applyBorder="1">
      <alignment vertical="center"/>
    </xf>
    <xf numFmtId="0" fontId="7" fillId="27" borderId="10" xfId="45" applyFont="1" applyFill="1" applyBorder="1" applyAlignment="1" applyProtection="1">
      <alignment horizontal="center" vertical="center"/>
      <protection hidden="1"/>
    </xf>
    <xf numFmtId="0" fontId="7" fillId="27" borderId="65" xfId="0" applyFont="1" applyFill="1" applyBorder="1">
      <alignment vertical="center"/>
    </xf>
    <xf numFmtId="0" fontId="7" fillId="27" borderId="66" xfId="0" applyFont="1" applyFill="1" applyBorder="1">
      <alignment vertical="center"/>
    </xf>
    <xf numFmtId="0" fontId="7" fillId="27" borderId="67" xfId="0" applyFont="1" applyFill="1" applyBorder="1">
      <alignment vertical="center"/>
    </xf>
    <xf numFmtId="0" fontId="7" fillId="27" borderId="56" xfId="0" applyFont="1" applyFill="1" applyBorder="1">
      <alignment vertical="center"/>
    </xf>
    <xf numFmtId="0" fontId="7" fillId="27" borderId="57" xfId="0" applyFont="1" applyFill="1" applyBorder="1">
      <alignment vertical="center"/>
    </xf>
    <xf numFmtId="0" fontId="7" fillId="27" borderId="58" xfId="0" applyFont="1" applyFill="1" applyBorder="1">
      <alignment vertical="center"/>
    </xf>
    <xf numFmtId="0" fontId="7" fillId="0" borderId="0" xfId="0" applyFont="1">
      <alignment vertical="center"/>
    </xf>
    <xf numFmtId="0" fontId="0" fillId="0" borderId="0" xfId="0" applyAlignment="1">
      <alignment horizontal="right" vertical="center"/>
    </xf>
    <xf numFmtId="0" fontId="47" fillId="0" borderId="0" xfId="0" applyFont="1" applyFill="1" applyProtection="1">
      <alignment vertical="center"/>
      <protection hidden="1"/>
    </xf>
    <xf numFmtId="0" fontId="47" fillId="0" borderId="0" xfId="0" applyFont="1" applyFill="1" applyBorder="1" applyAlignment="1" applyProtection="1">
      <alignment horizontal="left" vertical="center"/>
      <protection hidden="1"/>
    </xf>
    <xf numFmtId="0" fontId="48"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right" vertical="center"/>
      <protection hidden="1"/>
    </xf>
    <xf numFmtId="0" fontId="47" fillId="0" borderId="0" xfId="0" applyFont="1" applyFill="1" applyBorder="1" applyAlignment="1" applyProtection="1">
      <alignment vertical="center"/>
      <protection hidden="1"/>
    </xf>
    <xf numFmtId="0" fontId="49" fillId="0" borderId="0" xfId="0" applyFont="1" applyFill="1" applyBorder="1" applyAlignment="1" applyProtection="1">
      <alignment vertical="center"/>
      <protection hidden="1"/>
    </xf>
    <xf numFmtId="0" fontId="49" fillId="0" borderId="0" xfId="0" applyFont="1" applyFill="1" applyBorder="1" applyAlignment="1" applyProtection="1">
      <alignment horizontal="center" vertical="center"/>
      <protection hidden="1"/>
    </xf>
    <xf numFmtId="14" fontId="50" fillId="0" borderId="0" xfId="0" applyNumberFormat="1" applyFont="1" applyFill="1" applyBorder="1" applyAlignment="1" applyProtection="1">
      <alignment horizontal="center" vertical="center"/>
      <protection hidden="1"/>
    </xf>
    <xf numFmtId="0" fontId="51" fillId="0" borderId="0" xfId="0" applyFont="1" applyFill="1" applyBorder="1" applyProtection="1">
      <alignment vertical="center"/>
      <protection hidden="1"/>
    </xf>
    <xf numFmtId="178" fontId="51" fillId="0" borderId="0" xfId="0" applyNumberFormat="1" applyFont="1" applyFill="1" applyBorder="1" applyProtection="1">
      <alignment vertical="center"/>
      <protection hidden="1"/>
    </xf>
    <xf numFmtId="0" fontId="50" fillId="0" borderId="0" xfId="0" applyFont="1" applyFill="1" applyProtection="1">
      <alignment vertical="center"/>
      <protection hidden="1"/>
    </xf>
    <xf numFmtId="0" fontId="27" fillId="0" borderId="0" xfId="0" applyFont="1" applyFill="1" applyBorder="1" applyAlignment="1" applyProtection="1">
      <protection hidden="1"/>
    </xf>
    <xf numFmtId="0" fontId="52" fillId="0" borderId="0" xfId="0" applyFont="1" applyFill="1" applyBorder="1" applyAlignment="1" applyProtection="1">
      <alignment horizontal="left" vertical="center"/>
      <protection hidden="1"/>
    </xf>
    <xf numFmtId="0" fontId="53" fillId="0" borderId="0" xfId="0" applyFont="1" applyFill="1" applyBorder="1" applyAlignment="1" applyProtection="1">
      <alignment horizontal="right" vertical="center"/>
      <protection hidden="1"/>
    </xf>
    <xf numFmtId="0" fontId="53" fillId="0" borderId="0" xfId="0" applyFont="1" applyFill="1" applyBorder="1" applyAlignment="1" applyProtection="1">
      <alignment vertical="center"/>
      <protection hidden="1"/>
    </xf>
    <xf numFmtId="0" fontId="54" fillId="0" borderId="0" xfId="0" applyFont="1" applyFill="1" applyBorder="1" applyAlignment="1" applyProtection="1">
      <alignment vertical="center"/>
      <protection hidden="1"/>
    </xf>
    <xf numFmtId="0" fontId="55" fillId="0" borderId="0" xfId="0" applyFont="1" applyFill="1" applyBorder="1" applyAlignment="1" applyProtection="1">
      <alignment vertical="center"/>
      <protection hidden="1"/>
    </xf>
    <xf numFmtId="0" fontId="56" fillId="0" borderId="0" xfId="0" applyFont="1" applyFill="1" applyBorder="1" applyAlignment="1" applyProtection="1">
      <alignment horizontal="center" vertical="center"/>
      <protection hidden="1"/>
    </xf>
    <xf numFmtId="0" fontId="29" fillId="0" borderId="0" xfId="0" applyFont="1" applyFill="1" applyBorder="1" applyAlignment="1" applyProtection="1">
      <alignment horizontal="left" vertical="center"/>
      <protection hidden="1"/>
    </xf>
    <xf numFmtId="0" fontId="57" fillId="0" borderId="0" xfId="0" applyNumberFormat="1" applyFont="1" applyFill="1" applyBorder="1" applyProtection="1">
      <alignment vertical="center"/>
      <protection hidden="1"/>
    </xf>
    <xf numFmtId="0" fontId="57" fillId="0" borderId="0" xfId="0" applyFont="1" applyFill="1" applyBorder="1" applyProtection="1">
      <alignment vertical="center"/>
      <protection hidden="1"/>
    </xf>
    <xf numFmtId="0" fontId="30" fillId="0" borderId="0" xfId="0" applyFont="1" applyFill="1" applyBorder="1" applyAlignment="1" applyProtection="1">
      <alignment horizontal="left" vertical="center"/>
      <protection hidden="1"/>
    </xf>
    <xf numFmtId="0" fontId="56" fillId="0" borderId="0" xfId="0" applyFont="1" applyFill="1" applyBorder="1" applyAlignment="1" applyProtection="1">
      <alignment horizontal="right" vertical="center"/>
      <protection hidden="1"/>
    </xf>
    <xf numFmtId="0" fontId="58" fillId="0" borderId="0" xfId="0" applyFont="1" applyFill="1" applyBorder="1" applyAlignment="1" applyProtection="1">
      <alignment horizontal="left" vertical="top"/>
      <protection hidden="1"/>
    </xf>
    <xf numFmtId="0" fontId="53" fillId="0" borderId="0" xfId="0" applyFont="1" applyFill="1" applyBorder="1" applyAlignment="1" applyProtection="1">
      <alignment horizontal="left" vertical="center"/>
      <protection hidden="1"/>
    </xf>
    <xf numFmtId="0" fontId="55" fillId="0" borderId="0" xfId="0" applyFont="1" applyBorder="1" applyAlignment="1" applyProtection="1">
      <alignment horizontal="center" vertical="center"/>
      <protection hidden="1"/>
    </xf>
    <xf numFmtId="0" fontId="29" fillId="0" borderId="0" xfId="0" applyFont="1" applyFill="1" applyBorder="1" applyAlignment="1" applyProtection="1">
      <alignment horizontal="right" vertical="top"/>
      <protection hidden="1"/>
    </xf>
    <xf numFmtId="0" fontId="59" fillId="0" borderId="0" xfId="0" applyFont="1" applyFill="1" applyBorder="1" applyAlignment="1" applyProtection="1">
      <alignment vertical="center"/>
      <protection hidden="1"/>
    </xf>
    <xf numFmtId="0" fontId="60" fillId="0" borderId="0" xfId="0" applyFont="1" applyFill="1" applyBorder="1" applyAlignment="1" applyProtection="1">
      <alignment horizontal="left" vertical="center"/>
      <protection hidden="1"/>
    </xf>
    <xf numFmtId="0" fontId="60" fillId="0" borderId="0" xfId="0" applyFont="1" applyFill="1" applyBorder="1" applyAlignment="1" applyProtection="1">
      <alignment horizontal="right" vertical="center"/>
      <protection hidden="1"/>
    </xf>
    <xf numFmtId="0" fontId="60" fillId="0" borderId="0" xfId="0" applyFont="1" applyFill="1" applyBorder="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0" xfId="0" applyFont="1" applyFill="1" applyBorder="1" applyAlignment="1" applyProtection="1">
      <alignment horizontal="center" vertical="center"/>
      <protection hidden="1"/>
    </xf>
    <xf numFmtId="0" fontId="62" fillId="0" borderId="0" xfId="0" applyFont="1" applyFill="1" applyBorder="1" applyAlignment="1" applyProtection="1">
      <alignment horizontal="center" vertical="center"/>
      <protection hidden="1"/>
    </xf>
    <xf numFmtId="0" fontId="63" fillId="0" borderId="0" xfId="0" applyFont="1" applyFill="1" applyBorder="1" applyAlignment="1" applyProtection="1">
      <alignment vertical="center"/>
      <protection hidden="1"/>
    </xf>
    <xf numFmtId="0" fontId="65" fillId="30" borderId="68" xfId="0" applyFont="1" applyFill="1" applyBorder="1" applyAlignment="1" applyProtection="1">
      <alignment horizontal="left" vertical="center"/>
      <protection hidden="1"/>
    </xf>
    <xf numFmtId="0" fontId="65" fillId="30" borderId="69" xfId="0" applyFont="1" applyFill="1" applyBorder="1" applyAlignment="1" applyProtection="1">
      <alignment horizontal="left" vertical="center"/>
      <protection hidden="1"/>
    </xf>
    <xf numFmtId="0" fontId="66" fillId="30" borderId="69" xfId="0" applyFont="1" applyFill="1" applyBorder="1" applyAlignment="1" applyProtection="1">
      <alignment horizontal="right" vertical="top"/>
      <protection hidden="1"/>
    </xf>
    <xf numFmtId="0" fontId="57" fillId="30" borderId="70" xfId="0" applyFont="1" applyFill="1" applyBorder="1" applyProtection="1">
      <alignment vertical="center"/>
      <protection hidden="1"/>
    </xf>
    <xf numFmtId="0" fontId="57" fillId="30" borderId="60" xfId="0" applyFont="1" applyFill="1" applyBorder="1" applyProtection="1">
      <alignment vertical="center"/>
      <protection hidden="1"/>
    </xf>
    <xf numFmtId="56" fontId="65" fillId="30" borderId="70" xfId="0" applyNumberFormat="1" applyFont="1" applyFill="1" applyBorder="1" applyProtection="1">
      <alignment vertical="center"/>
      <protection hidden="1"/>
    </xf>
    <xf numFmtId="0" fontId="65" fillId="30" borderId="71" xfId="0" applyFont="1" applyFill="1" applyBorder="1" applyAlignment="1" applyProtection="1">
      <alignment horizontal="left" vertical="center"/>
      <protection hidden="1"/>
    </xf>
    <xf numFmtId="0" fontId="67" fillId="0" borderId="0" xfId="0" applyFont="1" applyFill="1" applyBorder="1" applyProtection="1">
      <alignment vertical="center"/>
      <protection hidden="1"/>
    </xf>
    <xf numFmtId="49" fontId="34" fillId="0" borderId="72" xfId="0" applyNumberFormat="1" applyFont="1" applyFill="1" applyBorder="1" applyAlignment="1" applyProtection="1">
      <alignment horizontal="left" vertical="center"/>
      <protection hidden="1"/>
    </xf>
    <xf numFmtId="3" fontId="28" fillId="0" borderId="73" xfId="0" applyNumberFormat="1" applyFont="1" applyFill="1" applyBorder="1" applyAlignment="1" applyProtection="1">
      <alignment horizontal="left" vertical="center"/>
      <protection hidden="1"/>
    </xf>
    <xf numFmtId="3" fontId="34" fillId="0" borderId="74" xfId="0" applyNumberFormat="1" applyFont="1" applyFill="1" applyBorder="1" applyAlignment="1" applyProtection="1">
      <alignment vertical="center"/>
      <protection hidden="1"/>
    </xf>
    <xf numFmtId="0" fontId="57" fillId="0" borderId="75" xfId="0" applyFont="1" applyFill="1" applyBorder="1" applyProtection="1">
      <alignment vertical="center"/>
      <protection hidden="1"/>
    </xf>
    <xf numFmtId="0" fontId="34" fillId="0" borderId="62" xfId="0" applyFont="1" applyFill="1" applyBorder="1" applyAlignment="1" applyProtection="1">
      <alignment horizontal="left" vertical="center"/>
      <protection hidden="1"/>
    </xf>
    <xf numFmtId="0" fontId="35" fillId="0" borderId="0" xfId="0" applyFont="1" applyFill="1" applyBorder="1" applyAlignment="1" applyProtection="1">
      <alignment horizontal="left" vertical="center"/>
      <protection hidden="1"/>
    </xf>
    <xf numFmtId="0" fontId="34" fillId="0" borderId="76" xfId="0" quotePrefix="1" applyFont="1" applyFill="1" applyBorder="1" applyAlignment="1" applyProtection="1">
      <alignment horizontal="left" vertical="center"/>
      <protection hidden="1"/>
    </xf>
    <xf numFmtId="2" fontId="35" fillId="0" borderId="0" xfId="0" applyNumberFormat="1" applyFont="1" applyFill="1" applyBorder="1" applyAlignment="1" applyProtection="1">
      <alignment horizontal="left" vertical="center"/>
      <protection hidden="1"/>
    </xf>
    <xf numFmtId="0" fontId="68" fillId="0" borderId="59" xfId="0" applyFont="1" applyFill="1" applyBorder="1" applyAlignment="1" applyProtection="1">
      <alignment vertical="center"/>
      <protection hidden="1"/>
    </xf>
    <xf numFmtId="0" fontId="68" fillId="0" borderId="0" xfId="0" applyFont="1" applyFill="1" applyBorder="1" applyAlignment="1" applyProtection="1">
      <alignment vertical="center"/>
      <protection hidden="1"/>
    </xf>
    <xf numFmtId="0" fontId="68" fillId="0" borderId="63" xfId="0" applyFont="1" applyFill="1" applyBorder="1" applyAlignment="1" applyProtection="1">
      <alignment vertical="center"/>
      <protection hidden="1"/>
    </xf>
    <xf numFmtId="0" fontId="57" fillId="0" borderId="10" xfId="0" applyFont="1" applyFill="1" applyBorder="1" applyProtection="1">
      <alignment vertical="center"/>
      <protection hidden="1"/>
    </xf>
    <xf numFmtId="0" fontId="7" fillId="0" borderId="10" xfId="0" applyNumberFormat="1" applyFont="1" applyFill="1" applyBorder="1" applyProtection="1">
      <alignment vertical="center"/>
      <protection hidden="1"/>
    </xf>
    <xf numFmtId="0" fontId="69" fillId="0" borderId="10" xfId="0" applyFont="1" applyFill="1" applyBorder="1" applyProtection="1">
      <alignment vertical="center"/>
      <protection hidden="1"/>
    </xf>
    <xf numFmtId="0" fontId="50" fillId="0" borderId="10" xfId="0" applyNumberFormat="1" applyFont="1" applyFill="1" applyBorder="1" applyProtection="1">
      <alignment vertical="center"/>
      <protection hidden="1"/>
    </xf>
    <xf numFmtId="0" fontId="57" fillId="0" borderId="10" xfId="0" applyNumberFormat="1" applyFont="1" applyFill="1" applyBorder="1" applyProtection="1">
      <alignment vertical="center"/>
      <protection hidden="1"/>
    </xf>
    <xf numFmtId="0" fontId="34" fillId="0" borderId="62" xfId="0" applyFont="1" applyFill="1" applyBorder="1" applyAlignment="1" applyProtection="1">
      <alignment vertical="center"/>
      <protection hidden="1"/>
    </xf>
    <xf numFmtId="3" fontId="28" fillId="0" borderId="0" xfId="0" applyNumberFormat="1" applyFont="1" applyFill="1" applyBorder="1" applyAlignment="1" applyProtection="1">
      <alignment horizontal="left" vertical="center"/>
      <protection hidden="1"/>
    </xf>
    <xf numFmtId="3" fontId="34" fillId="0" borderId="76" xfId="0" applyNumberFormat="1" applyFont="1" applyFill="1" applyBorder="1" applyAlignment="1" applyProtection="1">
      <alignment vertical="center"/>
      <protection hidden="1"/>
    </xf>
    <xf numFmtId="3" fontId="34" fillId="0" borderId="0" xfId="0" applyNumberFormat="1" applyFont="1" applyFill="1" applyBorder="1" applyAlignment="1" applyProtection="1">
      <alignment horizontal="left" vertical="center"/>
      <protection hidden="1"/>
    </xf>
    <xf numFmtId="0" fontId="34" fillId="0" borderId="77" xfId="0" applyFont="1" applyFill="1" applyBorder="1" applyAlignment="1" applyProtection="1">
      <alignment horizontal="left" vertical="center"/>
      <protection hidden="1"/>
    </xf>
    <xf numFmtId="0" fontId="35" fillId="0" borderId="57" xfId="0" applyFont="1" applyFill="1" applyBorder="1" applyAlignment="1" applyProtection="1">
      <alignment horizontal="left" vertical="center"/>
      <protection hidden="1"/>
    </xf>
    <xf numFmtId="0" fontId="34" fillId="0" borderId="78" xfId="0" applyFont="1" applyFill="1" applyBorder="1" applyAlignment="1" applyProtection="1">
      <alignment horizontal="left" vertical="center"/>
      <protection hidden="1"/>
    </xf>
    <xf numFmtId="3" fontId="35" fillId="0" borderId="79" xfId="0" applyNumberFormat="1" applyFont="1" applyFill="1" applyBorder="1" applyAlignment="1" applyProtection="1">
      <alignment horizontal="left" vertical="center"/>
      <protection hidden="1"/>
    </xf>
    <xf numFmtId="0" fontId="57" fillId="0" borderId="62" xfId="0" applyFont="1" applyFill="1" applyBorder="1" applyProtection="1">
      <alignment vertical="center"/>
      <protection hidden="1"/>
    </xf>
    <xf numFmtId="0" fontId="57" fillId="0" borderId="63" xfId="0" applyFont="1" applyFill="1" applyBorder="1" applyProtection="1">
      <alignment vertical="center"/>
      <protection hidden="1"/>
    </xf>
    <xf numFmtId="0" fontId="50" fillId="0" borderId="10" xfId="0" applyFont="1" applyFill="1" applyBorder="1" applyProtection="1">
      <alignment vertical="center"/>
      <protection hidden="1"/>
    </xf>
    <xf numFmtId="0" fontId="50" fillId="0" borderId="10" xfId="35" applyNumberFormat="1" applyFont="1" applyFill="1" applyBorder="1" applyAlignment="1" applyProtection="1">
      <protection hidden="1"/>
    </xf>
    <xf numFmtId="3" fontId="35" fillId="0" borderId="0" xfId="0" applyNumberFormat="1" applyFont="1" applyFill="1" applyBorder="1" applyAlignment="1" applyProtection="1">
      <alignment horizontal="left" vertical="center"/>
      <protection hidden="1"/>
    </xf>
    <xf numFmtId="181" fontId="34" fillId="0" borderId="76" xfId="0" applyNumberFormat="1" applyFont="1" applyFill="1" applyBorder="1" applyAlignment="1" applyProtection="1">
      <alignment horizontal="right" vertical="center"/>
      <protection hidden="1"/>
    </xf>
    <xf numFmtId="0" fontId="57" fillId="0" borderId="62" xfId="0" applyFont="1" applyFill="1" applyBorder="1" applyProtection="1">
      <alignment vertical="center"/>
      <protection locked="0"/>
    </xf>
    <xf numFmtId="0" fontId="57" fillId="0" borderId="0" xfId="0" applyFont="1" applyFill="1" applyBorder="1" applyProtection="1">
      <alignment vertical="center"/>
      <protection locked="0"/>
    </xf>
    <xf numFmtId="0" fontId="57" fillId="0" borderId="63" xfId="0" applyFont="1" applyFill="1" applyBorder="1" applyProtection="1">
      <alignment vertical="center"/>
      <protection locked="0"/>
    </xf>
    <xf numFmtId="0" fontId="50" fillId="0" borderId="10" xfId="0" applyNumberFormat="1" applyFont="1" applyFill="1" applyBorder="1" applyAlignment="1" applyProtection="1">
      <alignment horizontal="left" vertical="center" wrapText="1"/>
      <protection hidden="1"/>
    </xf>
    <xf numFmtId="0" fontId="34" fillId="0" borderId="77" xfId="0" applyFont="1" applyFill="1" applyBorder="1" applyAlignment="1" applyProtection="1">
      <alignment vertical="center"/>
      <protection hidden="1"/>
    </xf>
    <xf numFmtId="3" fontId="28" fillId="0" borderId="57" xfId="0" applyNumberFormat="1" applyFont="1" applyFill="1" applyBorder="1" applyAlignment="1" applyProtection="1">
      <alignment horizontal="left" vertical="center"/>
      <protection hidden="1"/>
    </xf>
    <xf numFmtId="0" fontId="34" fillId="0" borderId="78" xfId="0" applyNumberFormat="1" applyFont="1" applyFill="1" applyBorder="1" applyAlignment="1" applyProtection="1">
      <alignment horizontal="left" vertical="center"/>
      <protection hidden="1"/>
    </xf>
    <xf numFmtId="3" fontId="34" fillId="0" borderId="57" xfId="0" applyNumberFormat="1" applyFont="1" applyFill="1" applyBorder="1" applyAlignment="1" applyProtection="1">
      <alignment horizontal="left" vertical="center"/>
      <protection hidden="1"/>
    </xf>
    <xf numFmtId="0" fontId="57" fillId="0" borderId="79" xfId="0" applyFont="1" applyFill="1" applyBorder="1" applyProtection="1">
      <alignment vertical="center"/>
      <protection hidden="1"/>
    </xf>
    <xf numFmtId="181" fontId="34" fillId="0" borderId="78" xfId="0" applyNumberFormat="1" applyFont="1" applyFill="1" applyBorder="1" applyAlignment="1" applyProtection="1">
      <alignment horizontal="right" vertical="center"/>
      <protection hidden="1"/>
    </xf>
    <xf numFmtId="0" fontId="7" fillId="0" borderId="10" xfId="0" applyNumberFormat="1" applyFont="1" applyFill="1" applyBorder="1" applyAlignment="1" applyProtection="1">
      <alignment vertical="center" wrapText="1"/>
      <protection hidden="1"/>
    </xf>
    <xf numFmtId="49" fontId="34" fillId="0" borderId="80" xfId="0" applyNumberFormat="1" applyFont="1" applyFill="1" applyBorder="1" applyAlignment="1" applyProtection="1">
      <alignment horizontal="left" vertical="center"/>
      <protection hidden="1"/>
    </xf>
    <xf numFmtId="3" fontId="28" fillId="0" borderId="50" xfId="0" applyNumberFormat="1" applyFont="1" applyFill="1" applyBorder="1" applyAlignment="1" applyProtection="1">
      <alignment horizontal="left" vertical="center"/>
      <protection hidden="1"/>
    </xf>
    <xf numFmtId="3" fontId="34" fillId="0" borderId="81" xfId="0" applyNumberFormat="1" applyFont="1" applyFill="1" applyBorder="1" applyAlignment="1" applyProtection="1">
      <alignment vertical="center"/>
      <protection hidden="1"/>
    </xf>
    <xf numFmtId="0" fontId="57" fillId="0" borderId="82" xfId="0" applyFont="1" applyFill="1" applyBorder="1" applyProtection="1">
      <alignment vertical="center"/>
      <protection hidden="1"/>
    </xf>
    <xf numFmtId="0" fontId="35" fillId="0" borderId="57" xfId="0" applyFont="1" applyFill="1" applyBorder="1" applyProtection="1">
      <alignment vertical="center"/>
      <protection hidden="1"/>
    </xf>
    <xf numFmtId="0" fontId="35" fillId="0" borderId="79" xfId="0" applyFont="1" applyFill="1" applyBorder="1" applyProtection="1">
      <alignment vertical="center"/>
      <protection hidden="1"/>
    </xf>
    <xf numFmtId="3" fontId="70" fillId="0" borderId="0" xfId="0" applyNumberFormat="1" applyFont="1" applyFill="1" applyBorder="1" applyAlignment="1" applyProtection="1">
      <alignment horizontal="left" vertical="center"/>
      <protection locked="0"/>
    </xf>
    <xf numFmtId="0" fontId="71" fillId="0" borderId="0" xfId="0" applyFont="1" applyFill="1" applyBorder="1" applyProtection="1">
      <alignment vertical="center"/>
      <protection hidden="1"/>
    </xf>
    <xf numFmtId="31" fontId="34" fillId="0" borderId="76" xfId="0" applyNumberFormat="1" applyFont="1" applyFill="1" applyBorder="1" applyAlignment="1" applyProtection="1">
      <alignment horizontal="left" vertical="center" shrinkToFit="1"/>
      <protection hidden="1"/>
    </xf>
    <xf numFmtId="0" fontId="35" fillId="0" borderId="0" xfId="0" applyFont="1" applyFill="1" applyBorder="1" applyProtection="1">
      <alignment vertical="center"/>
      <protection hidden="1"/>
    </xf>
    <xf numFmtId="3" fontId="72" fillId="0" borderId="0" xfId="0" applyNumberFormat="1" applyFont="1" applyFill="1" applyBorder="1" applyAlignment="1" applyProtection="1">
      <alignment horizontal="left" vertical="center"/>
      <protection locked="0"/>
    </xf>
    <xf numFmtId="186" fontId="73" fillId="0" borderId="10" xfId="35" applyNumberFormat="1" applyFont="1" applyFill="1" applyBorder="1" applyAlignment="1" applyProtection="1">
      <alignment horizontal="center" vertical="center"/>
      <protection hidden="1"/>
    </xf>
    <xf numFmtId="37" fontId="35" fillId="0" borderId="0" xfId="0" applyNumberFormat="1" applyFont="1" applyFill="1" applyBorder="1" applyAlignment="1" applyProtection="1">
      <alignment horizontal="left" vertical="center"/>
      <protection hidden="1"/>
    </xf>
    <xf numFmtId="0" fontId="57" fillId="0" borderId="76" xfId="0" applyFont="1" applyFill="1" applyBorder="1" applyProtection="1">
      <alignment vertical="center"/>
      <protection hidden="1"/>
    </xf>
    <xf numFmtId="3" fontId="34" fillId="0" borderId="0" xfId="0" applyNumberFormat="1" applyFont="1" applyFill="1" applyBorder="1" applyAlignment="1" applyProtection="1">
      <alignment horizontal="right" vertical="center"/>
      <protection hidden="1"/>
    </xf>
    <xf numFmtId="182" fontId="34" fillId="0" borderId="0" xfId="0" applyNumberFormat="1" applyFont="1" applyFill="1" applyBorder="1" applyAlignment="1" applyProtection="1">
      <alignment horizontal="left" vertical="center"/>
      <protection hidden="1"/>
    </xf>
    <xf numFmtId="14" fontId="34" fillId="0" borderId="76" xfId="0" applyNumberFormat="1" applyFont="1" applyFill="1" applyBorder="1" applyAlignment="1" applyProtection="1">
      <alignment horizontal="left" vertical="center"/>
      <protection hidden="1"/>
    </xf>
    <xf numFmtId="186" fontId="0" fillId="0" borderId="10" xfId="0" applyNumberFormat="1" applyFill="1" applyBorder="1" applyProtection="1">
      <alignment vertical="center"/>
      <protection hidden="1"/>
    </xf>
    <xf numFmtId="0" fontId="50" fillId="0" borderId="0" xfId="0" applyNumberFormat="1" applyFont="1" applyFill="1" applyBorder="1" applyProtection="1">
      <alignment vertical="center"/>
      <protection hidden="1"/>
    </xf>
    <xf numFmtId="37" fontId="34" fillId="0" borderId="0" xfId="0" applyNumberFormat="1" applyFont="1" applyFill="1" applyBorder="1" applyAlignment="1" applyProtection="1">
      <alignment horizontal="right" vertical="center"/>
      <protection hidden="1"/>
    </xf>
    <xf numFmtId="0" fontId="34" fillId="0" borderId="0" xfId="0" applyFont="1" applyFill="1" applyBorder="1" applyAlignment="1" applyProtection="1">
      <alignment horizontal="left" vertical="center"/>
      <protection hidden="1"/>
    </xf>
    <xf numFmtId="0" fontId="57" fillId="0" borderId="65" xfId="0" applyFont="1" applyFill="1" applyBorder="1" applyProtection="1">
      <alignment vertical="center"/>
      <protection locked="0"/>
    </xf>
    <xf numFmtId="0" fontId="57" fillId="0" borderId="66" xfId="0" applyFont="1" applyFill="1" applyBorder="1" applyProtection="1">
      <alignment vertical="center"/>
      <protection locked="0"/>
    </xf>
    <xf numFmtId="0" fontId="57" fillId="0" borderId="67" xfId="0" applyFont="1" applyFill="1" applyBorder="1" applyProtection="1">
      <alignment vertical="center"/>
      <protection locked="0"/>
    </xf>
    <xf numFmtId="186" fontId="50" fillId="0" borderId="10" xfId="0" applyNumberFormat="1" applyFont="1" applyFill="1" applyBorder="1" applyProtection="1">
      <alignment vertical="center"/>
      <protection hidden="1"/>
    </xf>
    <xf numFmtId="0" fontId="7" fillId="0" borderId="0" xfId="0" applyNumberFormat="1" applyFont="1" applyFill="1" applyBorder="1" applyProtection="1">
      <alignment vertical="center"/>
      <protection hidden="1"/>
    </xf>
    <xf numFmtId="3" fontId="74" fillId="0" borderId="64" xfId="0" applyNumberFormat="1" applyFont="1" applyFill="1" applyBorder="1" applyAlignment="1" applyProtection="1">
      <alignment horizontal="left" vertical="center"/>
      <protection hidden="1"/>
    </xf>
    <xf numFmtId="3" fontId="74" fillId="0" borderId="17" xfId="0" applyNumberFormat="1" applyFont="1" applyFill="1" applyBorder="1" applyAlignment="1" applyProtection="1">
      <alignment horizontal="left" vertical="center"/>
      <protection hidden="1"/>
    </xf>
    <xf numFmtId="3" fontId="75" fillId="0" borderId="0" xfId="0" applyNumberFormat="1" applyFont="1" applyFill="1" applyBorder="1" applyAlignment="1" applyProtection="1">
      <alignment horizontal="left" vertical="center"/>
      <protection hidden="1"/>
    </xf>
    <xf numFmtId="0" fontId="50" fillId="0" borderId="0" xfId="0" applyFont="1" applyFill="1" applyBorder="1" applyProtection="1">
      <alignment vertical="center"/>
      <protection hidden="1"/>
    </xf>
    <xf numFmtId="0" fontId="76" fillId="0" borderId="64" xfId="0" applyFont="1" applyFill="1" applyBorder="1" applyProtection="1">
      <alignment vertical="center"/>
      <protection hidden="1"/>
    </xf>
    <xf numFmtId="0" fontId="50" fillId="0" borderId="63" xfId="0" applyFont="1" applyFill="1" applyBorder="1" applyProtection="1">
      <alignment vertical="center"/>
      <protection hidden="1"/>
    </xf>
    <xf numFmtId="0" fontId="34" fillId="0" borderId="0" xfId="0" applyNumberFormat="1" applyFont="1" applyFill="1" applyBorder="1" applyAlignment="1" applyProtection="1">
      <alignment horizontal="left" vertical="center"/>
      <protection hidden="1"/>
    </xf>
    <xf numFmtId="0" fontId="35" fillId="0" borderId="0" xfId="0" applyNumberFormat="1" applyFont="1" applyFill="1" applyBorder="1" applyAlignment="1" applyProtection="1">
      <alignment horizontal="left" vertical="center"/>
      <protection hidden="1"/>
    </xf>
    <xf numFmtId="0" fontId="68" fillId="0" borderId="0" xfId="0" applyNumberFormat="1" applyFont="1" applyFill="1" applyBorder="1" applyAlignment="1" applyProtection="1">
      <alignment vertical="center"/>
      <protection hidden="1"/>
    </xf>
    <xf numFmtId="0" fontId="57" fillId="0" borderId="66" xfId="0" applyFont="1" applyFill="1" applyBorder="1" applyProtection="1">
      <alignment vertical="center"/>
      <protection hidden="1"/>
    </xf>
    <xf numFmtId="0" fontId="50" fillId="0" borderId="66" xfId="0" applyFont="1" applyFill="1" applyBorder="1" applyProtection="1">
      <alignment vertical="center"/>
      <protection hidden="1"/>
    </xf>
    <xf numFmtId="0" fontId="76" fillId="0" borderId="83" xfId="0" applyFont="1" applyFill="1" applyBorder="1" applyProtection="1">
      <alignment vertical="center"/>
      <protection hidden="1"/>
    </xf>
    <xf numFmtId="3" fontId="74" fillId="0" borderId="84" xfId="0" applyNumberFormat="1" applyFont="1" applyFill="1" applyBorder="1" applyAlignment="1" applyProtection="1">
      <alignment horizontal="left" vertical="center"/>
      <protection hidden="1"/>
    </xf>
    <xf numFmtId="0" fontId="50" fillId="0" borderId="67" xfId="0" applyFont="1" applyFill="1" applyBorder="1" applyProtection="1">
      <alignment vertical="center"/>
      <protection hidden="1"/>
    </xf>
    <xf numFmtId="0" fontId="77" fillId="0" borderId="60" xfId="0" applyFont="1" applyFill="1" applyBorder="1" applyProtection="1">
      <alignment vertical="center"/>
      <protection hidden="1"/>
    </xf>
    <xf numFmtId="0" fontId="78" fillId="0" borderId="60" xfId="0" applyFont="1" applyFill="1" applyBorder="1" applyAlignment="1" applyProtection="1">
      <alignment vertical="center"/>
      <protection hidden="1"/>
    </xf>
    <xf numFmtId="0" fontId="57" fillId="0" borderId="60" xfId="0" applyFont="1" applyFill="1" applyBorder="1" applyProtection="1">
      <alignment vertical="center"/>
      <protection hidden="1"/>
    </xf>
    <xf numFmtId="3" fontId="79" fillId="0" borderId="60" xfId="0" applyNumberFormat="1" applyFont="1" applyFill="1" applyBorder="1" applyAlignment="1" applyProtection="1">
      <alignment horizontal="left" vertical="center"/>
      <protection hidden="1"/>
    </xf>
    <xf numFmtId="0" fontId="80" fillId="0" borderId="60" xfId="0" applyFont="1" applyFill="1" applyBorder="1" applyAlignment="1" applyProtection="1">
      <alignment vertical="center"/>
      <protection hidden="1"/>
    </xf>
    <xf numFmtId="37" fontId="34" fillId="0" borderId="60" xfId="0" applyNumberFormat="1" applyFont="1" applyFill="1" applyBorder="1" applyAlignment="1" applyProtection="1">
      <alignment horizontal="left" vertical="center"/>
      <protection hidden="1"/>
    </xf>
    <xf numFmtId="0" fontId="65" fillId="30" borderId="59" xfId="0" applyFont="1" applyFill="1" applyBorder="1" applyAlignment="1" applyProtection="1">
      <alignment vertical="center"/>
      <protection hidden="1"/>
    </xf>
    <xf numFmtId="0" fontId="81" fillId="30" borderId="60" xfId="0" applyFont="1" applyFill="1" applyBorder="1" applyAlignment="1" applyProtection="1">
      <alignment horizontal="right" vertical="center"/>
      <protection hidden="1"/>
    </xf>
    <xf numFmtId="0" fontId="81" fillId="30" borderId="60" xfId="0" applyFont="1" applyFill="1" applyBorder="1" applyAlignment="1" applyProtection="1">
      <alignment vertical="center"/>
      <protection hidden="1"/>
    </xf>
    <xf numFmtId="0" fontId="82" fillId="30" borderId="60" xfId="0" applyFont="1" applyFill="1" applyBorder="1" applyAlignment="1" applyProtection="1">
      <alignment vertical="center"/>
      <protection hidden="1"/>
    </xf>
    <xf numFmtId="56" fontId="65" fillId="30" borderId="85" xfId="0" applyNumberFormat="1" applyFont="1" applyFill="1" applyBorder="1" applyProtection="1">
      <alignment vertical="center"/>
      <protection hidden="1"/>
    </xf>
    <xf numFmtId="0" fontId="64" fillId="30" borderId="69" xfId="0" applyFont="1" applyFill="1" applyBorder="1" applyAlignment="1" applyProtection="1">
      <alignment horizontal="left" vertical="center"/>
      <protection hidden="1"/>
    </xf>
    <xf numFmtId="0" fontId="84" fillId="30" borderId="69" xfId="0" applyFont="1" applyFill="1" applyBorder="1" applyAlignment="1" applyProtection="1">
      <alignment horizontal="right" vertical="center"/>
      <protection hidden="1"/>
    </xf>
    <xf numFmtId="0" fontId="65" fillId="30" borderId="85" xfId="0" applyFont="1" applyFill="1" applyBorder="1" applyProtection="1">
      <alignment vertical="center"/>
      <protection hidden="1"/>
    </xf>
    <xf numFmtId="0" fontId="30" fillId="0" borderId="59" xfId="0" applyFont="1" applyFill="1" applyBorder="1" applyAlignment="1" applyProtection="1">
      <alignment vertical="center"/>
      <protection hidden="1"/>
    </xf>
    <xf numFmtId="0" fontId="30" fillId="0" borderId="60" xfId="0" applyFont="1" applyFill="1" applyBorder="1" applyAlignment="1" applyProtection="1">
      <alignment vertical="center"/>
      <protection hidden="1"/>
    </xf>
    <xf numFmtId="0" fontId="85" fillId="0" borderId="61" xfId="0" applyFont="1" applyFill="1" applyBorder="1" applyAlignment="1" applyProtection="1">
      <alignment horizontal="right" vertical="center"/>
      <protection hidden="1"/>
    </xf>
    <xf numFmtId="0" fontId="57" fillId="0" borderId="59" xfId="0" applyFont="1" applyFill="1" applyBorder="1" applyAlignment="1" applyProtection="1">
      <alignment vertical="center"/>
      <protection hidden="1"/>
    </xf>
    <xf numFmtId="0" fontId="57" fillId="0" borderId="0" xfId="0" applyFont="1" applyFill="1" applyBorder="1" applyAlignment="1" applyProtection="1">
      <alignment vertical="center"/>
      <protection hidden="1"/>
    </xf>
    <xf numFmtId="0" fontId="57" fillId="0" borderId="63" xfId="0" applyFont="1" applyFill="1" applyBorder="1" applyAlignment="1" applyProtection="1">
      <alignment vertical="center"/>
      <protection hidden="1"/>
    </xf>
    <xf numFmtId="38" fontId="50" fillId="0" borderId="10" xfId="35" applyFont="1" applyFill="1" applyBorder="1" applyAlignment="1" applyProtection="1">
      <protection hidden="1"/>
    </xf>
    <xf numFmtId="0" fontId="49" fillId="0" borderId="62" xfId="0" applyFont="1" applyFill="1" applyBorder="1" applyProtection="1">
      <alignment vertical="center"/>
      <protection hidden="1"/>
    </xf>
    <xf numFmtId="186" fontId="73" fillId="0" borderId="0" xfId="0" applyNumberFormat="1" applyFont="1" applyFill="1" applyBorder="1" applyAlignment="1" applyProtection="1">
      <alignment horizontal="center" vertical="center"/>
      <protection hidden="1"/>
    </xf>
    <xf numFmtId="0" fontId="30" fillId="0" borderId="62"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37" fillId="0" borderId="0" xfId="0" applyFont="1" applyFill="1" applyBorder="1" applyAlignment="1" applyProtection="1">
      <alignment horizontal="center" vertical="center"/>
      <protection hidden="1"/>
    </xf>
    <xf numFmtId="0" fontId="37" fillId="0" borderId="63" xfId="0" applyFont="1" applyFill="1" applyBorder="1" applyAlignment="1" applyProtection="1">
      <alignment horizontal="center" vertical="center"/>
      <protection hidden="1"/>
    </xf>
    <xf numFmtId="0" fontId="49" fillId="0" borderId="62" xfId="0" applyFont="1" applyFill="1" applyBorder="1" applyAlignment="1" applyProtection="1">
      <alignment horizontal="right" vertical="center"/>
      <protection hidden="1"/>
    </xf>
    <xf numFmtId="38" fontId="7" fillId="0" borderId="10" xfId="0" applyNumberFormat="1" applyFont="1" applyFill="1" applyBorder="1" applyProtection="1">
      <alignment vertical="center"/>
      <protection hidden="1"/>
    </xf>
    <xf numFmtId="0" fontId="57" fillId="0" borderId="86" xfId="0" applyFont="1" applyFill="1" applyBorder="1" applyProtection="1">
      <alignment vertical="center"/>
      <protection hidden="1"/>
    </xf>
    <xf numFmtId="0" fontId="57" fillId="0" borderId="87" xfId="0" applyFont="1" applyFill="1" applyBorder="1" applyProtection="1">
      <alignment vertical="center"/>
      <protection hidden="1"/>
    </xf>
    <xf numFmtId="0" fontId="30" fillId="0" borderId="86" xfId="0" applyFont="1" applyFill="1" applyBorder="1" applyAlignment="1" applyProtection="1">
      <alignment vertical="center"/>
      <protection hidden="1"/>
    </xf>
    <xf numFmtId="0" fontId="30" fillId="0" borderId="87" xfId="0" applyFont="1" applyFill="1" applyBorder="1" applyAlignment="1" applyProtection="1">
      <alignment vertical="center"/>
      <protection hidden="1"/>
    </xf>
    <xf numFmtId="0" fontId="37" fillId="0" borderId="87" xfId="0" applyFont="1" applyFill="1" applyBorder="1" applyAlignment="1" applyProtection="1">
      <alignment horizontal="center" vertical="center"/>
      <protection hidden="1"/>
    </xf>
    <xf numFmtId="0" fontId="37" fillId="0" borderId="88" xfId="0" applyFont="1" applyFill="1" applyBorder="1" applyAlignment="1" applyProtection="1">
      <alignment horizontal="center" vertical="center"/>
      <protection hidden="1"/>
    </xf>
    <xf numFmtId="0" fontId="57" fillId="0" borderId="62" xfId="0" applyFont="1" applyFill="1" applyBorder="1" applyAlignment="1" applyProtection="1">
      <alignment vertical="center"/>
      <protection hidden="1"/>
    </xf>
    <xf numFmtId="38" fontId="7" fillId="0" borderId="10" xfId="35" applyFont="1" applyFill="1" applyBorder="1" applyProtection="1">
      <alignment vertical="center"/>
      <protection hidden="1"/>
    </xf>
    <xf numFmtId="0" fontId="85" fillId="0" borderId="62" xfId="0" applyFont="1" applyFill="1" applyBorder="1" applyProtection="1">
      <alignment vertical="center"/>
      <protection hidden="1"/>
    </xf>
    <xf numFmtId="0" fontId="49" fillId="0" borderId="62" xfId="0" applyFont="1" applyFill="1" applyBorder="1" applyAlignment="1" applyProtection="1">
      <alignment horizontal="left" vertical="center"/>
      <protection hidden="1"/>
    </xf>
    <xf numFmtId="0" fontId="86" fillId="0" borderId="0" xfId="0" applyFont="1" applyFill="1" applyBorder="1" applyAlignment="1" applyProtection="1">
      <alignment horizontal="center" vertical="center"/>
      <protection hidden="1"/>
    </xf>
    <xf numFmtId="0" fontId="57" fillId="0" borderId="0" xfId="0" applyFont="1" applyFill="1" applyBorder="1" applyAlignment="1">
      <alignment vertical="center"/>
    </xf>
    <xf numFmtId="0" fontId="29" fillId="0" borderId="63" xfId="0" applyFont="1" applyFill="1" applyBorder="1" applyAlignment="1" applyProtection="1">
      <alignment horizontal="right" vertical="center"/>
      <protection hidden="1"/>
    </xf>
    <xf numFmtId="0" fontId="7" fillId="0" borderId="10" xfId="0" applyNumberFormat="1" applyFont="1" applyFill="1" applyBorder="1" applyAlignment="1" applyProtection="1">
      <alignment horizontal="center"/>
      <protection hidden="1"/>
    </xf>
    <xf numFmtId="0" fontId="7" fillId="0" borderId="10" xfId="35" applyNumberFormat="1" applyFont="1" applyFill="1" applyBorder="1" applyAlignment="1" applyProtection="1">
      <protection hidden="1"/>
    </xf>
    <xf numFmtId="0" fontId="7" fillId="0" borderId="10" xfId="35" quotePrefix="1" applyNumberFormat="1" applyFont="1" applyFill="1" applyBorder="1" applyAlignment="1" applyProtection="1">
      <protection hidden="1"/>
    </xf>
    <xf numFmtId="0" fontId="49" fillId="0" borderId="86" xfId="0" applyFont="1" applyFill="1" applyBorder="1" applyAlignment="1" applyProtection="1">
      <alignment horizontal="left" vertical="center"/>
      <protection hidden="1"/>
    </xf>
    <xf numFmtId="0" fontId="86" fillId="0" borderId="87" xfId="0" applyFont="1" applyFill="1" applyBorder="1" applyAlignment="1" applyProtection="1">
      <alignment horizontal="center" vertical="center"/>
      <protection hidden="1"/>
    </xf>
    <xf numFmtId="0" fontId="57" fillId="0" borderId="87" xfId="0" applyFont="1" applyFill="1" applyBorder="1" applyAlignment="1">
      <alignment vertical="center"/>
    </xf>
    <xf numFmtId="0" fontId="29" fillId="0" borderId="88" xfId="0" applyFont="1" applyFill="1" applyBorder="1" applyAlignment="1" applyProtection="1">
      <alignment horizontal="right" vertical="center"/>
      <protection hidden="1"/>
    </xf>
    <xf numFmtId="0" fontId="7" fillId="0" borderId="0" xfId="0" applyNumberFormat="1" applyFont="1" applyFill="1" applyBorder="1" applyAlignment="1" applyProtection="1">
      <alignment horizontal="center"/>
      <protection hidden="1"/>
    </xf>
    <xf numFmtId="0" fontId="7" fillId="0" borderId="0" xfId="35" applyNumberFormat="1" applyFont="1" applyFill="1" applyBorder="1" applyAlignment="1" applyProtection="1">
      <protection hidden="1"/>
    </xf>
    <xf numFmtId="0" fontId="68" fillId="0" borderId="62" xfId="0" applyFont="1" applyFill="1" applyBorder="1" applyAlignment="1" applyProtection="1">
      <alignment vertical="center" wrapText="1"/>
      <protection hidden="1"/>
    </xf>
    <xf numFmtId="0" fontId="68" fillId="0" borderId="0" xfId="0" applyFont="1" applyFill="1" applyBorder="1" applyAlignment="1" applyProtection="1">
      <alignment vertical="center" wrapText="1"/>
      <protection hidden="1"/>
    </xf>
    <xf numFmtId="0" fontId="68" fillId="0" borderId="63" xfId="0" applyFont="1" applyFill="1" applyBorder="1" applyAlignment="1" applyProtection="1">
      <alignment vertical="center" wrapText="1"/>
      <protection hidden="1"/>
    </xf>
    <xf numFmtId="186" fontId="49" fillId="0" borderId="0" xfId="35" applyNumberFormat="1" applyFont="1" applyFill="1" applyBorder="1" applyAlignment="1" applyProtection="1">
      <alignment horizontal="right" vertical="center"/>
      <protection hidden="1"/>
    </xf>
    <xf numFmtId="0" fontId="12" fillId="0" borderId="0" xfId="0" applyFont="1" applyFill="1" applyBorder="1" applyProtection="1">
      <alignment vertical="center"/>
      <protection hidden="1"/>
    </xf>
    <xf numFmtId="0" fontId="7" fillId="0" borderId="0" xfId="35" applyNumberFormat="1" applyFont="1" applyFill="1" applyBorder="1" applyAlignment="1" applyProtection="1">
      <alignment wrapText="1"/>
      <protection hidden="1"/>
    </xf>
    <xf numFmtId="186" fontId="49" fillId="0" borderId="0" xfId="35" applyNumberFormat="1" applyFont="1" applyFill="1" applyBorder="1" applyAlignment="1" applyProtection="1">
      <alignment horizontal="right" vertical="top"/>
      <protection hidden="1"/>
    </xf>
    <xf numFmtId="0" fontId="49" fillId="0" borderId="0" xfId="0" applyFont="1" applyFill="1" applyBorder="1" applyProtection="1">
      <alignment vertical="center"/>
      <protection hidden="1"/>
    </xf>
    <xf numFmtId="0" fontId="68" fillId="0" borderId="0" xfId="0" applyFont="1" applyFill="1" applyBorder="1" applyAlignment="1" applyProtection="1">
      <alignment horizontal="left"/>
      <protection hidden="1"/>
    </xf>
    <xf numFmtId="0" fontId="57" fillId="0" borderId="65" xfId="0" applyFont="1" applyFill="1" applyBorder="1" applyProtection="1">
      <alignment vertical="center"/>
      <protection hidden="1"/>
    </xf>
    <xf numFmtId="0" fontId="57" fillId="0" borderId="65" xfId="0" applyFont="1" applyFill="1" applyBorder="1" applyAlignment="1" applyProtection="1">
      <alignment vertical="center"/>
      <protection hidden="1"/>
    </xf>
    <xf numFmtId="0" fontId="68" fillId="0" borderId="66" xfId="0" applyFont="1" applyFill="1" applyBorder="1" applyAlignment="1" applyProtection="1">
      <alignment horizontal="left" vertical="top"/>
      <protection hidden="1"/>
    </xf>
    <xf numFmtId="0" fontId="57" fillId="0" borderId="66" xfId="0" applyFont="1" applyFill="1" applyBorder="1" applyAlignment="1" applyProtection="1">
      <alignment vertical="center"/>
      <protection hidden="1"/>
    </xf>
    <xf numFmtId="0" fontId="57" fillId="0" borderId="67" xfId="0" applyFont="1" applyFill="1" applyBorder="1" applyAlignment="1" applyProtection="1">
      <alignment vertical="center"/>
      <protection hidden="1"/>
    </xf>
    <xf numFmtId="0" fontId="85" fillId="0" borderId="10" xfId="0" applyFont="1" applyFill="1" applyBorder="1" applyProtection="1">
      <alignment vertical="center"/>
      <protection hidden="1"/>
    </xf>
    <xf numFmtId="0" fontId="12" fillId="0" borderId="10" xfId="0" applyFont="1" applyFill="1" applyBorder="1" applyProtection="1">
      <alignment vertical="center"/>
      <protection hidden="1"/>
    </xf>
    <xf numFmtId="0" fontId="65" fillId="30" borderId="68" xfId="0" applyFont="1" applyFill="1" applyBorder="1" applyAlignment="1" applyProtection="1">
      <alignment vertical="center"/>
      <protection hidden="1"/>
    </xf>
    <xf numFmtId="0" fontId="87" fillId="30" borderId="69" xfId="0" applyFont="1" applyFill="1" applyBorder="1" applyAlignment="1" applyProtection="1">
      <alignment vertical="center"/>
      <protection hidden="1"/>
    </xf>
    <xf numFmtId="0" fontId="87" fillId="30" borderId="69" xfId="0" applyFont="1" applyFill="1" applyBorder="1" applyAlignment="1" applyProtection="1">
      <alignment horizontal="right" vertical="center"/>
      <protection hidden="1"/>
    </xf>
    <xf numFmtId="0" fontId="88" fillId="30" borderId="69" xfId="0" applyFont="1" applyFill="1" applyBorder="1" applyAlignment="1" applyProtection="1">
      <alignment horizontal="right" vertical="top"/>
      <protection hidden="1"/>
    </xf>
    <xf numFmtId="0" fontId="61" fillId="30" borderId="69" xfId="0" applyFont="1" applyFill="1" applyBorder="1" applyAlignment="1" applyProtection="1">
      <alignment horizontal="center" vertical="center"/>
      <protection hidden="1"/>
    </xf>
    <xf numFmtId="0" fontId="68" fillId="30" borderId="69" xfId="0" applyFont="1" applyFill="1" applyBorder="1" applyAlignment="1" applyProtection="1">
      <alignment vertical="center"/>
      <protection hidden="1"/>
    </xf>
    <xf numFmtId="0" fontId="88" fillId="30" borderId="71" xfId="0" applyFont="1" applyFill="1" applyBorder="1" applyAlignment="1" applyProtection="1">
      <alignment horizontal="right" vertical="center"/>
      <protection hidden="1"/>
    </xf>
    <xf numFmtId="38" fontId="57" fillId="32" borderId="10" xfId="35" applyFont="1" applyFill="1" applyBorder="1" applyProtection="1">
      <alignment vertical="center"/>
      <protection hidden="1"/>
    </xf>
    <xf numFmtId="0" fontId="57" fillId="32" borderId="10" xfId="0" applyFont="1" applyFill="1" applyBorder="1" applyProtection="1">
      <alignment vertical="center"/>
      <protection hidden="1"/>
    </xf>
    <xf numFmtId="9" fontId="57" fillId="0" borderId="10" xfId="0" applyNumberFormat="1" applyFont="1" applyFill="1" applyBorder="1" applyProtection="1">
      <alignment vertical="center"/>
      <protection hidden="1"/>
    </xf>
    <xf numFmtId="38" fontId="57" fillId="0" borderId="0" xfId="0" applyNumberFormat="1" applyFont="1" applyFill="1" applyBorder="1" applyProtection="1">
      <alignment vertical="center"/>
      <protection hidden="1"/>
    </xf>
    <xf numFmtId="0" fontId="90" fillId="33" borderId="62" xfId="0" applyFont="1" applyFill="1" applyBorder="1" applyAlignment="1" applyProtection="1">
      <alignment vertical="center"/>
      <protection hidden="1"/>
    </xf>
    <xf numFmtId="0" fontId="87" fillId="33" borderId="0" xfId="0" applyFont="1" applyFill="1" applyBorder="1" applyAlignment="1" applyProtection="1">
      <alignment vertical="center"/>
      <protection hidden="1"/>
    </xf>
    <xf numFmtId="0" fontId="61" fillId="33" borderId="0" xfId="0" applyFont="1" applyFill="1" applyBorder="1" applyAlignment="1" applyProtection="1">
      <alignment horizontal="center" vertical="center"/>
      <protection hidden="1"/>
    </xf>
    <xf numFmtId="0" fontId="91" fillId="33" borderId="0" xfId="0" applyFont="1" applyFill="1" applyBorder="1" applyAlignment="1" applyProtection="1">
      <alignment horizontal="right" vertical="center"/>
      <protection hidden="1"/>
    </xf>
    <xf numFmtId="0" fontId="92" fillId="33" borderId="0" xfId="0" applyFont="1" applyFill="1" applyBorder="1" applyAlignment="1" applyProtection="1">
      <alignment horizontal="right" vertical="center"/>
      <protection hidden="1"/>
    </xf>
    <xf numFmtId="0" fontId="94" fillId="33" borderId="0" xfId="0" applyFont="1" applyFill="1" applyBorder="1" applyAlignment="1" applyProtection="1">
      <alignment horizontal="right" vertical="center"/>
      <protection hidden="1"/>
    </xf>
    <xf numFmtId="177" fontId="94" fillId="33" borderId="0" xfId="0" applyNumberFormat="1" applyFont="1" applyFill="1" applyBorder="1" applyAlignment="1" applyProtection="1">
      <alignment horizontal="right" vertical="center"/>
      <protection hidden="1"/>
    </xf>
    <xf numFmtId="0" fontId="88" fillId="33" borderId="63" xfId="0" applyFont="1" applyFill="1" applyBorder="1" applyAlignment="1" applyProtection="1">
      <alignment horizontal="right" vertical="center"/>
      <protection hidden="1"/>
    </xf>
    <xf numFmtId="0" fontId="67" fillId="0" borderId="0" xfId="0" applyFont="1" applyFill="1" applyBorder="1" applyAlignment="1" applyProtection="1">
      <alignment vertical="center"/>
      <protection hidden="1"/>
    </xf>
    <xf numFmtId="182" fontId="67" fillId="0" borderId="0" xfId="0" applyNumberFormat="1" applyFont="1" applyFill="1" applyBorder="1" applyAlignment="1" applyProtection="1">
      <alignment horizontal="left" vertical="center"/>
      <protection hidden="1"/>
    </xf>
    <xf numFmtId="0" fontId="67" fillId="0" borderId="0" xfId="0" applyFont="1" applyFill="1" applyBorder="1" applyAlignment="1" applyProtection="1">
      <alignment horizontal="left" vertical="center"/>
      <protection hidden="1"/>
    </xf>
    <xf numFmtId="38" fontId="12" fillId="32" borderId="10" xfId="0" applyNumberFormat="1" applyFont="1" applyFill="1" applyBorder="1" applyProtection="1">
      <alignment vertical="center"/>
      <protection hidden="1"/>
    </xf>
    <xf numFmtId="0" fontId="95" fillId="0" borderId="0" xfId="0" applyFont="1" applyFill="1" applyBorder="1" applyAlignment="1" applyProtection="1">
      <alignment vertical="center"/>
      <protection hidden="1"/>
    </xf>
    <xf numFmtId="0" fontId="96" fillId="0" borderId="0" xfId="0" applyFont="1" applyFill="1" applyBorder="1" applyAlignment="1" applyProtection="1">
      <alignment horizontal="left" vertical="center"/>
      <protection hidden="1"/>
    </xf>
    <xf numFmtId="0" fontId="97" fillId="0" borderId="0" xfId="0" applyFont="1" applyFill="1" applyBorder="1" applyAlignment="1" applyProtection="1">
      <alignment horizontal="right" vertical="center"/>
      <protection hidden="1"/>
    </xf>
    <xf numFmtId="0" fontId="98" fillId="0" borderId="0" xfId="0" applyFont="1" applyFill="1" applyBorder="1" applyProtection="1">
      <alignment vertical="center"/>
      <protection hidden="1"/>
    </xf>
    <xf numFmtId="182" fontId="67" fillId="0" borderId="63" xfId="0" applyNumberFormat="1" applyFont="1" applyFill="1" applyBorder="1" applyAlignment="1" applyProtection="1">
      <alignment horizontal="center" vertical="center"/>
      <protection hidden="1"/>
    </xf>
    <xf numFmtId="38" fontId="57" fillId="32" borderId="10" xfId="0" applyNumberFormat="1" applyFont="1" applyFill="1" applyBorder="1" applyProtection="1">
      <alignment vertical="center"/>
      <protection hidden="1"/>
    </xf>
    <xf numFmtId="0" fontId="57" fillId="0" borderId="0" xfId="0" quotePrefix="1" applyFont="1" applyFill="1" applyBorder="1" applyProtection="1">
      <alignment vertical="center"/>
      <protection hidden="1"/>
    </xf>
    <xf numFmtId="0" fontId="50" fillId="0" borderId="10" xfId="0" applyNumberFormat="1" applyFont="1" applyFill="1" applyBorder="1" applyAlignment="1" applyProtection="1">
      <alignment horizontal="left" vertical="center"/>
      <protection hidden="1"/>
    </xf>
    <xf numFmtId="195" fontId="50" fillId="0" borderId="10" xfId="0" applyNumberFormat="1" applyFont="1" applyFill="1" applyBorder="1" applyAlignment="1" applyProtection="1">
      <alignment horizontal="left"/>
      <protection hidden="1"/>
    </xf>
    <xf numFmtId="177" fontId="50" fillId="0" borderId="10" xfId="0" applyNumberFormat="1" applyFont="1" applyFill="1" applyBorder="1" applyAlignment="1" applyProtection="1">
      <alignment horizontal="right"/>
      <protection hidden="1"/>
    </xf>
    <xf numFmtId="177" fontId="50" fillId="0" borderId="10" xfId="0" applyNumberFormat="1" applyFont="1" applyFill="1" applyBorder="1" applyProtection="1">
      <alignment vertical="center"/>
      <protection hidden="1"/>
    </xf>
    <xf numFmtId="182" fontId="28" fillId="0" borderId="0" xfId="0" applyNumberFormat="1" applyFont="1" applyFill="1" applyBorder="1" applyAlignment="1" applyProtection="1">
      <alignment horizontal="left" vertical="center"/>
      <protection hidden="1"/>
    </xf>
    <xf numFmtId="0" fontId="7" fillId="0" borderId="10" xfId="0" applyNumberFormat="1" applyFont="1" applyFill="1" applyBorder="1" applyAlignment="1" applyProtection="1">
      <alignment horizontal="left" vertical="center"/>
      <protection hidden="1"/>
    </xf>
    <xf numFmtId="0" fontId="35" fillId="0" borderId="0" xfId="0" applyFont="1" applyFill="1" applyBorder="1" applyAlignment="1" applyProtection="1">
      <alignment vertical="center"/>
      <protection hidden="1"/>
    </xf>
    <xf numFmtId="0" fontId="35" fillId="0" borderId="57" xfId="0" applyFont="1" applyFill="1" applyBorder="1" applyAlignment="1" applyProtection="1">
      <alignment vertical="center"/>
      <protection hidden="1"/>
    </xf>
    <xf numFmtId="0" fontId="61" fillId="0" borderId="57" xfId="0" applyFont="1" applyFill="1" applyBorder="1" applyAlignment="1" applyProtection="1">
      <alignment horizontal="center" vertical="center"/>
      <protection hidden="1"/>
    </xf>
    <xf numFmtId="0" fontId="61" fillId="0" borderId="57" xfId="0" applyFont="1" applyFill="1" applyBorder="1" applyAlignment="1" applyProtection="1">
      <alignment vertical="center"/>
      <protection hidden="1"/>
    </xf>
    <xf numFmtId="0" fontId="50" fillId="0" borderId="57" xfId="0" applyFont="1" applyFill="1" applyBorder="1" applyProtection="1">
      <alignment vertical="center"/>
      <protection hidden="1"/>
    </xf>
    <xf numFmtId="0" fontId="50" fillId="0" borderId="79" xfId="0" applyFont="1" applyFill="1" applyBorder="1" applyProtection="1">
      <alignment vertical="center"/>
      <protection hidden="1"/>
    </xf>
    <xf numFmtId="0" fontId="50" fillId="0" borderId="53" xfId="0" applyFont="1" applyFill="1" applyBorder="1" applyProtection="1">
      <alignment vertical="center"/>
      <protection hidden="1"/>
    </xf>
    <xf numFmtId="0" fontId="100" fillId="33" borderId="89" xfId="0" applyFont="1" applyFill="1" applyBorder="1" applyAlignment="1" applyProtection="1">
      <alignment vertical="center"/>
      <protection hidden="1"/>
    </xf>
    <xf numFmtId="0" fontId="87" fillId="33" borderId="53" xfId="0" applyFont="1" applyFill="1" applyBorder="1" applyAlignment="1" applyProtection="1">
      <alignment vertical="center"/>
      <protection hidden="1"/>
    </xf>
    <xf numFmtId="0" fontId="87" fillId="33" borderId="53" xfId="0" applyFont="1" applyFill="1" applyBorder="1" applyAlignment="1" applyProtection="1">
      <alignment horizontal="right" vertical="center"/>
      <protection hidden="1"/>
    </xf>
    <xf numFmtId="182" fontId="94" fillId="33" borderId="0" xfId="0" applyNumberFormat="1" applyFont="1" applyFill="1" applyBorder="1" applyAlignment="1" applyProtection="1">
      <alignment horizontal="right" vertical="center"/>
      <protection hidden="1"/>
    </xf>
    <xf numFmtId="0" fontId="67" fillId="0" borderId="62" xfId="0" applyFont="1" applyFill="1" applyBorder="1" applyAlignment="1" applyProtection="1">
      <alignment horizontal="left" vertical="center"/>
      <protection hidden="1"/>
    </xf>
    <xf numFmtId="1" fontId="67" fillId="0" borderId="0" xfId="0" applyNumberFormat="1" applyFont="1" applyFill="1" applyBorder="1" applyAlignment="1" applyProtection="1">
      <alignment horizontal="left" vertical="center"/>
      <protection hidden="1"/>
    </xf>
    <xf numFmtId="0" fontId="67" fillId="0" borderId="63" xfId="0" applyFont="1" applyFill="1" applyBorder="1" applyAlignment="1" applyProtection="1">
      <alignment horizontal="left" vertical="center"/>
      <protection hidden="1"/>
    </xf>
    <xf numFmtId="0" fontId="68" fillId="0" borderId="62" xfId="0" applyFont="1" applyFill="1" applyBorder="1" applyAlignment="1" applyProtection="1">
      <alignment vertical="center"/>
      <protection hidden="1"/>
    </xf>
    <xf numFmtId="0" fontId="101" fillId="0" borderId="0" xfId="0" applyFont="1" applyFill="1" applyBorder="1" applyAlignment="1" applyProtection="1">
      <alignment vertical="center"/>
      <protection hidden="1"/>
    </xf>
    <xf numFmtId="0" fontId="35" fillId="0" borderId="0" xfId="0" applyFont="1" applyFill="1" applyBorder="1" applyAlignment="1" applyProtection="1">
      <alignment horizontal="right" vertical="center"/>
      <protection hidden="1"/>
    </xf>
    <xf numFmtId="1" fontId="35" fillId="0" borderId="0" xfId="0" applyNumberFormat="1" applyFont="1" applyFill="1" applyBorder="1" applyAlignment="1" applyProtection="1">
      <alignment vertical="center"/>
      <protection hidden="1"/>
    </xf>
    <xf numFmtId="0" fontId="68" fillId="0" borderId="0" xfId="0" applyFont="1" applyFill="1" applyBorder="1" applyAlignment="1" applyProtection="1">
      <alignment horizontal="right" vertical="center"/>
      <protection hidden="1"/>
    </xf>
    <xf numFmtId="0" fontId="28" fillId="0" borderId="0" xfId="0" applyFont="1" applyFill="1" applyBorder="1" applyAlignment="1" applyProtection="1">
      <alignment horizontal="left" vertical="center"/>
      <protection hidden="1"/>
    </xf>
    <xf numFmtId="0" fontId="50" fillId="0" borderId="10" xfId="0" applyNumberFormat="1" applyFont="1" applyFill="1" applyBorder="1" applyAlignment="1" applyProtection="1">
      <alignment horizontal="right"/>
      <protection hidden="1"/>
    </xf>
    <xf numFmtId="0" fontId="35" fillId="0" borderId="62" xfId="0" applyFont="1" applyFill="1" applyBorder="1" applyAlignment="1" applyProtection="1">
      <alignment vertical="center"/>
      <protection hidden="1"/>
    </xf>
    <xf numFmtId="177" fontId="57" fillId="0" borderId="0" xfId="0" applyNumberFormat="1" applyFont="1" applyFill="1" applyBorder="1" applyProtection="1">
      <alignment vertical="center"/>
      <protection hidden="1"/>
    </xf>
    <xf numFmtId="186" fontId="50" fillId="0" borderId="10" xfId="35" applyNumberFormat="1" applyFont="1" applyFill="1" applyBorder="1" applyAlignment="1" applyProtection="1">
      <alignment horizontal="right"/>
      <protection hidden="1"/>
    </xf>
    <xf numFmtId="0" fontId="7" fillId="0" borderId="10" xfId="0" applyNumberFormat="1" applyFont="1" applyFill="1" applyBorder="1" applyAlignment="1" applyProtection="1">
      <alignment horizontal="left"/>
      <protection hidden="1"/>
    </xf>
    <xf numFmtId="0" fontId="35" fillId="0" borderId="65" xfId="0" applyFont="1" applyFill="1" applyBorder="1" applyAlignment="1" applyProtection="1">
      <alignment vertical="center"/>
      <protection hidden="1"/>
    </xf>
    <xf numFmtId="0" fontId="35" fillId="0" borderId="66" xfId="0" applyFont="1" applyFill="1" applyBorder="1" applyAlignment="1" applyProtection="1">
      <alignment vertical="center"/>
      <protection hidden="1"/>
    </xf>
    <xf numFmtId="0" fontId="35" fillId="0" borderId="66" xfId="0" applyFont="1" applyFill="1" applyBorder="1" applyAlignment="1" applyProtection="1">
      <alignment horizontal="right" vertical="center"/>
      <protection hidden="1"/>
    </xf>
    <xf numFmtId="0" fontId="61" fillId="0" borderId="66" xfId="0" applyFont="1" applyFill="1" applyBorder="1" applyAlignment="1" applyProtection="1">
      <alignment vertical="center"/>
      <protection hidden="1"/>
    </xf>
    <xf numFmtId="0" fontId="28" fillId="0" borderId="66" xfId="0" applyFont="1" applyFill="1" applyBorder="1" applyAlignment="1" applyProtection="1">
      <alignment horizontal="left" vertical="center"/>
      <protection hidden="1"/>
    </xf>
    <xf numFmtId="0" fontId="68" fillId="0" borderId="66" xfId="0" applyFont="1" applyFill="1" applyBorder="1" applyAlignment="1" applyProtection="1">
      <alignment vertical="center"/>
      <protection hidden="1"/>
    </xf>
    <xf numFmtId="0" fontId="68" fillId="0" borderId="67" xfId="0" applyFont="1" applyFill="1" applyBorder="1" applyAlignment="1" applyProtection="1">
      <alignment vertical="center"/>
      <protection hidden="1"/>
    </xf>
    <xf numFmtId="0" fontId="0" fillId="0" borderId="10" xfId="0" applyNumberFormat="1" applyFill="1" applyBorder="1" applyProtection="1">
      <alignment vertical="center"/>
      <protection hidden="1"/>
    </xf>
    <xf numFmtId="177" fontId="50" fillId="34" borderId="10" xfId="0" applyNumberFormat="1" applyFont="1" applyFill="1" applyBorder="1" applyAlignment="1" applyProtection="1">
      <alignment horizontal="right"/>
      <protection hidden="1"/>
    </xf>
    <xf numFmtId="0" fontId="80" fillId="0" borderId="0" xfId="0" applyFont="1" applyFill="1" applyBorder="1" applyAlignment="1" applyProtection="1">
      <alignment vertical="center"/>
      <protection hidden="1"/>
    </xf>
    <xf numFmtId="0" fontId="28" fillId="0" borderId="0" xfId="0" applyFont="1" applyFill="1" applyBorder="1" applyAlignment="1" applyProtection="1">
      <alignment horizontal="right" vertical="center"/>
      <protection hidden="1"/>
    </xf>
    <xf numFmtId="0" fontId="50" fillId="0" borderId="0" xfId="0" applyNumberFormat="1" applyFont="1" applyFill="1" applyBorder="1" applyAlignment="1" applyProtection="1">
      <alignment horizontal="right"/>
      <protection hidden="1"/>
    </xf>
    <xf numFmtId="0" fontId="87" fillId="30" borderId="60" xfId="0" applyFont="1" applyFill="1" applyBorder="1" applyAlignment="1" applyProtection="1">
      <alignment vertical="center"/>
      <protection hidden="1"/>
    </xf>
    <xf numFmtId="0" fontId="87" fillId="30" borderId="60" xfId="0" applyFont="1" applyFill="1" applyBorder="1" applyAlignment="1" applyProtection="1">
      <alignment horizontal="right" vertical="center"/>
      <protection hidden="1"/>
    </xf>
    <xf numFmtId="0" fontId="102" fillId="30" borderId="60" xfId="0" applyFont="1" applyFill="1" applyBorder="1" applyAlignment="1" applyProtection="1">
      <alignment horizontal="right" vertical="top"/>
      <protection hidden="1"/>
    </xf>
    <xf numFmtId="0" fontId="61" fillId="30" borderId="60" xfId="0" applyFont="1" applyFill="1" applyBorder="1" applyAlignment="1" applyProtection="1">
      <alignment horizontal="center" vertical="center"/>
      <protection hidden="1"/>
    </xf>
    <xf numFmtId="0" fontId="68" fillId="30" borderId="60" xfId="0" applyFont="1" applyFill="1" applyBorder="1" applyAlignment="1" applyProtection="1">
      <alignment vertical="center"/>
      <protection hidden="1"/>
    </xf>
    <xf numFmtId="0" fontId="102" fillId="30" borderId="61" xfId="0" applyFont="1" applyFill="1" applyBorder="1" applyAlignment="1" applyProtection="1">
      <alignment horizontal="right" vertical="center"/>
      <protection hidden="1"/>
    </xf>
    <xf numFmtId="0" fontId="5" fillId="35" borderId="89" xfId="0" applyFont="1" applyFill="1" applyBorder="1" applyAlignment="1" applyProtection="1">
      <alignment vertical="center"/>
      <protection hidden="1"/>
    </xf>
    <xf numFmtId="0" fontId="87" fillId="35" borderId="53" xfId="0" applyFont="1" applyFill="1" applyBorder="1" applyAlignment="1" applyProtection="1">
      <alignment vertical="center"/>
      <protection hidden="1"/>
    </xf>
    <xf numFmtId="0" fontId="87" fillId="35" borderId="53" xfId="0" applyFont="1" applyFill="1" applyBorder="1" applyAlignment="1" applyProtection="1">
      <alignment horizontal="right" vertical="center"/>
      <protection hidden="1"/>
    </xf>
    <xf numFmtId="0" fontId="103" fillId="35" borderId="54" xfId="0" applyFont="1" applyFill="1" applyBorder="1" applyAlignment="1" applyProtection="1">
      <alignment vertical="center"/>
      <protection hidden="1"/>
    </xf>
    <xf numFmtId="0" fontId="5" fillId="35" borderId="53" xfId="0" applyFont="1" applyFill="1" applyBorder="1" applyAlignment="1" applyProtection="1">
      <alignment vertical="center"/>
      <protection hidden="1"/>
    </xf>
    <xf numFmtId="0" fontId="103" fillId="35" borderId="53" xfId="0" applyFont="1" applyFill="1" applyBorder="1" applyAlignment="1" applyProtection="1">
      <alignment horizontal="center" vertical="center"/>
      <protection hidden="1"/>
    </xf>
    <xf numFmtId="0" fontId="103" fillId="35" borderId="90" xfId="0" applyFont="1" applyFill="1" applyBorder="1" applyAlignment="1" applyProtection="1">
      <alignment horizontal="center" vertical="center"/>
      <protection hidden="1"/>
    </xf>
    <xf numFmtId="196" fontId="50" fillId="0" borderId="0" xfId="0" applyNumberFormat="1" applyFont="1" applyFill="1" applyBorder="1" applyProtection="1">
      <alignment vertical="center"/>
      <protection hidden="1"/>
    </xf>
    <xf numFmtId="0" fontId="104" fillId="35" borderId="89" xfId="0" applyFont="1" applyFill="1" applyBorder="1" applyAlignment="1" applyProtection="1">
      <alignment vertical="center"/>
      <protection hidden="1"/>
    </xf>
    <xf numFmtId="0" fontId="103" fillId="35" borderId="54" xfId="0" applyFont="1" applyFill="1" applyBorder="1" applyAlignment="1" applyProtection="1">
      <alignment horizontal="center" vertical="center"/>
      <protection hidden="1"/>
    </xf>
    <xf numFmtId="0" fontId="104" fillId="35" borderId="64" xfId="0" applyFont="1" applyFill="1" applyBorder="1">
      <alignment vertical="center"/>
    </xf>
    <xf numFmtId="0" fontId="103" fillId="35" borderId="0" xfId="0" applyFont="1" applyFill="1" applyBorder="1" applyAlignment="1" applyProtection="1">
      <alignment horizontal="center" vertical="center"/>
      <protection hidden="1"/>
    </xf>
    <xf numFmtId="0" fontId="103" fillId="35" borderId="17" xfId="0" applyFont="1" applyFill="1" applyBorder="1" applyAlignment="1" applyProtection="1">
      <alignment horizontal="center" vertical="center"/>
      <protection hidden="1"/>
    </xf>
    <xf numFmtId="0" fontId="104" fillId="35" borderId="52" xfId="0" applyFont="1" applyFill="1" applyBorder="1">
      <alignment vertical="center"/>
    </xf>
    <xf numFmtId="0" fontId="103" fillId="35" borderId="0" xfId="0" applyFont="1" applyFill="1" applyBorder="1" applyAlignment="1" applyProtection="1">
      <alignment horizontal="left" vertical="center"/>
      <protection hidden="1"/>
    </xf>
    <xf numFmtId="0" fontId="87" fillId="35" borderId="0" xfId="0" applyFont="1" applyFill="1" applyBorder="1" applyAlignment="1" applyProtection="1">
      <alignment horizontal="right" vertical="center"/>
      <protection hidden="1"/>
    </xf>
    <xf numFmtId="0" fontId="87" fillId="35" borderId="63" xfId="0" applyFont="1" applyFill="1" applyBorder="1" applyAlignment="1" applyProtection="1">
      <alignment horizontal="right" vertical="center"/>
      <protection hidden="1"/>
    </xf>
    <xf numFmtId="0" fontId="104" fillId="35" borderId="89" xfId="0" applyFont="1" applyFill="1" applyBorder="1">
      <alignment vertical="center"/>
    </xf>
    <xf numFmtId="0" fontId="103" fillId="35" borderId="53" xfId="0" applyFont="1" applyFill="1" applyBorder="1" applyAlignment="1" applyProtection="1">
      <alignment horizontal="left" vertical="center"/>
      <protection hidden="1"/>
    </xf>
    <xf numFmtId="0" fontId="87" fillId="35" borderId="54" xfId="0" applyFont="1" applyFill="1" applyBorder="1" applyAlignment="1" applyProtection="1">
      <alignment horizontal="right" vertical="center"/>
      <protection hidden="1"/>
    </xf>
    <xf numFmtId="0" fontId="104" fillId="35" borderId="0" xfId="0" applyFont="1" applyFill="1" applyBorder="1">
      <alignment vertical="center"/>
    </xf>
    <xf numFmtId="0" fontId="104" fillId="35" borderId="53" xfId="0" applyFont="1" applyFill="1" applyBorder="1">
      <alignment vertical="center"/>
    </xf>
    <xf numFmtId="0" fontId="87" fillId="35" borderId="90" xfId="0" applyFont="1" applyFill="1" applyBorder="1" applyAlignment="1" applyProtection="1">
      <alignment horizontal="right" vertical="center"/>
      <protection hidden="1"/>
    </xf>
    <xf numFmtId="0" fontId="64" fillId="36" borderId="68" xfId="0" applyFont="1" applyFill="1" applyBorder="1" applyAlignment="1" applyProtection="1">
      <alignment vertical="center"/>
      <protection hidden="1"/>
    </xf>
    <xf numFmtId="0" fontId="87" fillId="36" borderId="69" xfId="0" applyFont="1" applyFill="1" applyBorder="1" applyAlignment="1" applyProtection="1">
      <alignment vertical="center"/>
      <protection hidden="1"/>
    </xf>
    <xf numFmtId="0" fontId="87" fillId="36" borderId="69" xfId="0" applyFont="1" applyFill="1" applyBorder="1" applyAlignment="1" applyProtection="1">
      <alignment horizontal="right" vertical="center"/>
      <protection hidden="1"/>
    </xf>
    <xf numFmtId="0" fontId="88" fillId="36" borderId="69" xfId="0" applyFont="1" applyFill="1" applyBorder="1" applyAlignment="1" applyProtection="1">
      <alignment vertical="top"/>
      <protection hidden="1"/>
    </xf>
    <xf numFmtId="0" fontId="68" fillId="36" borderId="69" xfId="0" applyFont="1" applyFill="1" applyBorder="1" applyAlignment="1" applyProtection="1">
      <alignment vertical="center"/>
      <protection hidden="1"/>
    </xf>
    <xf numFmtId="0" fontId="102" fillId="36" borderId="69" xfId="0" applyFont="1" applyFill="1" applyBorder="1" applyAlignment="1" applyProtection="1">
      <alignment vertical="center"/>
      <protection hidden="1"/>
    </xf>
    <xf numFmtId="0" fontId="88" fillId="36" borderId="71" xfId="0" applyFont="1" applyFill="1" applyBorder="1" applyAlignment="1" applyProtection="1">
      <alignment horizontal="right" vertical="center"/>
      <protection hidden="1"/>
    </xf>
    <xf numFmtId="0" fontId="64" fillId="37" borderId="59" xfId="0" applyFont="1" applyFill="1" applyBorder="1" applyAlignment="1" applyProtection="1">
      <alignment vertical="center"/>
      <protection hidden="1"/>
    </xf>
    <xf numFmtId="0" fontId="87" fillId="37" borderId="60" xfId="0" applyFont="1" applyFill="1" applyBorder="1" applyAlignment="1" applyProtection="1">
      <alignment vertical="center"/>
      <protection hidden="1"/>
    </xf>
    <xf numFmtId="0" fontId="87" fillId="37" borderId="60" xfId="0" applyFont="1" applyFill="1" applyBorder="1" applyAlignment="1" applyProtection="1">
      <alignment horizontal="right" vertical="center"/>
      <protection hidden="1"/>
    </xf>
    <xf numFmtId="0" fontId="102" fillId="37" borderId="60" xfId="0" applyFont="1" applyFill="1" applyBorder="1" applyAlignment="1" applyProtection="1">
      <alignment vertical="center"/>
      <protection hidden="1"/>
    </xf>
    <xf numFmtId="0" fontId="3" fillId="37" borderId="60" xfId="0" applyFont="1" applyFill="1" applyBorder="1" applyAlignment="1" applyProtection="1">
      <alignment vertical="center"/>
      <protection hidden="1"/>
    </xf>
    <xf numFmtId="0" fontId="68" fillId="37" borderId="60" xfId="0" applyFont="1" applyFill="1" applyBorder="1" applyAlignment="1" applyProtection="1">
      <alignment vertical="center"/>
      <protection hidden="1"/>
    </xf>
    <xf numFmtId="0" fontId="3" fillId="37" borderId="61" xfId="0" applyFont="1" applyFill="1" applyBorder="1" applyAlignment="1" applyProtection="1">
      <alignment horizontal="right" vertical="center"/>
      <protection hidden="1"/>
    </xf>
    <xf numFmtId="0" fontId="60" fillId="38" borderId="59" xfId="0" applyFont="1" applyFill="1" applyBorder="1" applyAlignment="1" applyProtection="1">
      <alignment horizontal="left" vertical="center"/>
      <protection hidden="1"/>
    </xf>
    <xf numFmtId="0" fontId="60" fillId="38" borderId="60" xfId="0" applyFont="1" applyFill="1" applyBorder="1" applyAlignment="1" applyProtection="1">
      <alignment horizontal="left" vertical="center"/>
      <protection hidden="1"/>
    </xf>
    <xf numFmtId="0" fontId="60" fillId="38" borderId="60" xfId="0" applyFont="1" applyFill="1" applyBorder="1" applyAlignment="1" applyProtection="1">
      <alignment horizontal="right" vertical="center"/>
      <protection hidden="1"/>
    </xf>
    <xf numFmtId="0" fontId="38" fillId="31" borderId="60" xfId="0" applyFont="1" applyFill="1" applyBorder="1" applyAlignment="1" applyProtection="1">
      <alignment vertical="center"/>
      <protection hidden="1"/>
    </xf>
    <xf numFmtId="0" fontId="35" fillId="31" borderId="60" xfId="0" applyFont="1" applyFill="1" applyBorder="1" applyAlignment="1" applyProtection="1">
      <alignment vertical="center"/>
      <protection hidden="1"/>
    </xf>
    <xf numFmtId="0" fontId="68" fillId="31" borderId="60" xfId="0" applyFont="1" applyFill="1" applyBorder="1" applyAlignment="1" applyProtection="1">
      <alignment vertical="center"/>
      <protection hidden="1"/>
    </xf>
    <xf numFmtId="0" fontId="35" fillId="31" borderId="61" xfId="0" applyFont="1" applyFill="1" applyBorder="1" applyAlignment="1" applyProtection="1">
      <alignment horizontal="right" vertical="center"/>
      <protection hidden="1"/>
    </xf>
    <xf numFmtId="0" fontId="60" fillId="38" borderId="62" xfId="0" applyFont="1" applyFill="1" applyBorder="1" applyAlignment="1" applyProtection="1">
      <alignment horizontal="left" vertical="center"/>
      <protection hidden="1"/>
    </xf>
    <xf numFmtId="49" fontId="34" fillId="38" borderId="0" xfId="0" applyNumberFormat="1" applyFont="1" applyFill="1" applyBorder="1" applyAlignment="1" applyProtection="1">
      <alignment horizontal="left" vertical="center"/>
      <protection hidden="1"/>
    </xf>
    <xf numFmtId="49" fontId="35" fillId="38" borderId="0" xfId="0" applyNumberFormat="1" applyFont="1" applyFill="1" applyBorder="1" applyAlignment="1" applyProtection="1">
      <alignment horizontal="right" vertical="center"/>
      <protection hidden="1"/>
    </xf>
    <xf numFmtId="49" fontId="28" fillId="24" borderId="0" xfId="0" applyNumberFormat="1" applyFont="1" applyFill="1" applyBorder="1" applyAlignment="1" applyProtection="1">
      <alignment horizontal="left" vertical="center"/>
      <protection locked="0"/>
    </xf>
    <xf numFmtId="49" fontId="34" fillId="0" borderId="0" xfId="0" applyNumberFormat="1" applyFont="1" applyFill="1" applyBorder="1" applyAlignment="1" applyProtection="1">
      <alignment horizontal="left" vertical="center"/>
      <protection hidden="1"/>
    </xf>
    <xf numFmtId="49" fontId="35" fillId="0" borderId="0" xfId="0" applyNumberFormat="1" applyFont="1" applyFill="1" applyBorder="1" applyAlignment="1" applyProtection="1">
      <alignment horizontal="left" vertical="center"/>
      <protection hidden="1"/>
    </xf>
    <xf numFmtId="49" fontId="28" fillId="24" borderId="0" xfId="0" applyNumberFormat="1" applyFont="1" applyFill="1" applyBorder="1" applyAlignment="1" applyProtection="1">
      <alignment horizontal="right" vertical="center"/>
      <protection locked="0"/>
    </xf>
    <xf numFmtId="0" fontId="35" fillId="24" borderId="0" xfId="0"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center" vertical="center"/>
      <protection hidden="1"/>
    </xf>
    <xf numFmtId="49" fontId="28" fillId="0" borderId="0" xfId="0" applyNumberFormat="1" applyFont="1" applyFill="1" applyBorder="1" applyAlignment="1" applyProtection="1">
      <alignment horizontal="center" vertical="center"/>
      <protection hidden="1"/>
    </xf>
    <xf numFmtId="49" fontId="28" fillId="0" borderId="63" xfId="0" applyNumberFormat="1" applyFont="1" applyFill="1" applyBorder="1" applyAlignment="1" applyProtection="1">
      <alignment horizontal="left" vertical="center"/>
      <protection hidden="1"/>
    </xf>
    <xf numFmtId="0" fontId="34" fillId="38" borderId="0" xfId="0" applyFont="1" applyFill="1" applyBorder="1" applyAlignment="1" applyProtection="1">
      <alignment vertical="center"/>
      <protection hidden="1"/>
    </xf>
    <xf numFmtId="0" fontId="35" fillId="38" borderId="0" xfId="0" applyFont="1" applyFill="1" applyBorder="1" applyAlignment="1" applyProtection="1">
      <alignment horizontal="right" vertical="center"/>
      <protection hidden="1"/>
    </xf>
    <xf numFmtId="0" fontId="35" fillId="24" borderId="0" xfId="0" applyFont="1" applyFill="1" applyBorder="1" applyAlignment="1" applyProtection="1">
      <alignment vertical="center"/>
      <protection locked="0"/>
    </xf>
    <xf numFmtId="0" fontId="35" fillId="24" borderId="0" xfId="0" applyFont="1" applyFill="1" applyBorder="1" applyAlignment="1" applyProtection="1">
      <alignment horizontal="right" vertical="center"/>
      <protection locked="0"/>
    </xf>
    <xf numFmtId="0" fontId="35" fillId="24" borderId="0"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protection hidden="1"/>
    </xf>
    <xf numFmtId="0" fontId="35" fillId="0" borderId="63" xfId="0" applyFont="1" applyFill="1" applyBorder="1" applyAlignment="1" applyProtection="1">
      <alignment vertical="center"/>
      <protection hidden="1"/>
    </xf>
    <xf numFmtId="0" fontId="84" fillId="0" borderId="0" xfId="0" applyFont="1" applyFill="1" applyProtection="1">
      <alignment vertical="center"/>
      <protection hidden="1"/>
    </xf>
    <xf numFmtId="0" fontId="84" fillId="38" borderId="62" xfId="0" applyFont="1" applyFill="1" applyBorder="1" applyProtection="1">
      <alignment vertical="center"/>
      <protection hidden="1"/>
    </xf>
    <xf numFmtId="0" fontId="34" fillId="38" borderId="0" xfId="0" applyFont="1" applyFill="1" applyBorder="1" applyAlignment="1" applyProtection="1">
      <alignment horizontal="left" vertical="center"/>
      <protection hidden="1"/>
    </xf>
    <xf numFmtId="49" fontId="35" fillId="0" borderId="0" xfId="0" applyNumberFormat="1" applyFont="1" applyFill="1" applyBorder="1" applyAlignment="1" applyProtection="1">
      <alignment horizontal="center" vertical="center"/>
      <protection hidden="1"/>
    </xf>
    <xf numFmtId="0" fontId="35" fillId="38" borderId="0" xfId="0" applyFont="1" applyFill="1" applyBorder="1" applyAlignment="1" applyProtection="1">
      <alignment horizontal="left" vertical="center"/>
      <protection hidden="1"/>
    </xf>
    <xf numFmtId="49" fontId="35" fillId="0" borderId="63" xfId="0" applyNumberFormat="1"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60" fillId="38" borderId="65" xfId="0" applyFont="1" applyFill="1" applyBorder="1" applyAlignment="1" applyProtection="1">
      <alignment horizontal="left" vertical="center"/>
      <protection hidden="1"/>
    </xf>
    <xf numFmtId="0" fontId="35" fillId="24" borderId="66" xfId="0" applyFont="1" applyFill="1" applyBorder="1" applyAlignment="1" applyProtection="1">
      <alignment horizontal="left" vertical="center"/>
      <protection locked="0"/>
    </xf>
    <xf numFmtId="0" fontId="35" fillId="38" borderId="66" xfId="0" applyFont="1" applyFill="1" applyBorder="1" applyAlignment="1" applyProtection="1">
      <alignment horizontal="right" vertical="center"/>
      <protection hidden="1"/>
    </xf>
    <xf numFmtId="0" fontId="35" fillId="24" borderId="66" xfId="0" applyFont="1" applyFill="1" applyBorder="1" applyAlignment="1" applyProtection="1">
      <alignment vertical="center"/>
      <protection locked="0"/>
    </xf>
    <xf numFmtId="0" fontId="34" fillId="0" borderId="66" xfId="0" applyFont="1" applyFill="1" applyBorder="1" applyAlignment="1" applyProtection="1">
      <alignment vertical="center"/>
      <protection hidden="1"/>
    </xf>
    <xf numFmtId="0" fontId="35" fillId="24" borderId="66" xfId="0" applyFont="1" applyFill="1" applyBorder="1" applyAlignment="1" applyProtection="1">
      <alignment horizontal="right" vertical="center"/>
      <protection locked="0"/>
    </xf>
    <xf numFmtId="0" fontId="35" fillId="0" borderId="66" xfId="0" applyFont="1" applyFill="1" applyBorder="1" applyAlignment="1" applyProtection="1">
      <alignment horizontal="center" vertical="center"/>
      <protection hidden="1"/>
    </xf>
    <xf numFmtId="0" fontId="35" fillId="0" borderId="67" xfId="0" applyFont="1" applyFill="1" applyBorder="1" applyAlignment="1" applyProtection="1">
      <alignment vertical="center"/>
      <protection hidden="1"/>
    </xf>
    <xf numFmtId="0" fontId="64" fillId="37" borderId="68" xfId="0" applyFont="1" applyFill="1" applyBorder="1" applyAlignment="1" applyProtection="1">
      <alignment horizontal="left" vertical="center"/>
      <protection hidden="1"/>
    </xf>
    <xf numFmtId="0" fontId="102" fillId="37" borderId="69" xfId="0" applyFont="1" applyFill="1" applyBorder="1" applyAlignment="1" applyProtection="1">
      <alignment horizontal="left" vertical="center"/>
      <protection hidden="1"/>
    </xf>
    <xf numFmtId="0" fontId="102" fillId="37" borderId="69" xfId="0" applyFont="1" applyFill="1" applyBorder="1" applyAlignment="1" applyProtection="1">
      <alignment horizontal="right" vertical="center"/>
      <protection hidden="1"/>
    </xf>
    <xf numFmtId="0" fontId="102" fillId="37" borderId="69" xfId="0" applyFont="1" applyFill="1" applyBorder="1" applyAlignment="1" applyProtection="1">
      <alignment vertical="center"/>
      <protection hidden="1"/>
    </xf>
    <xf numFmtId="0" fontId="107" fillId="37" borderId="69" xfId="0" applyFont="1" applyFill="1" applyBorder="1" applyAlignment="1" applyProtection="1">
      <alignment vertical="center"/>
      <protection hidden="1"/>
    </xf>
    <xf numFmtId="0" fontId="107" fillId="37" borderId="71" xfId="0" applyFont="1" applyFill="1" applyBorder="1" applyAlignment="1" applyProtection="1">
      <alignment vertical="center"/>
      <protection hidden="1"/>
    </xf>
    <xf numFmtId="0" fontId="5" fillId="33" borderId="59" xfId="0" applyNumberFormat="1" applyFont="1" applyFill="1" applyBorder="1" applyAlignment="1" applyProtection="1">
      <alignment vertical="center"/>
      <protection hidden="1"/>
    </xf>
    <xf numFmtId="0" fontId="103" fillId="33" borderId="60" xfId="0" applyNumberFormat="1" applyFont="1" applyFill="1" applyBorder="1" applyAlignment="1" applyProtection="1">
      <alignment vertical="center"/>
      <protection hidden="1"/>
    </xf>
    <xf numFmtId="0" fontId="103" fillId="33" borderId="60" xfId="0" applyNumberFormat="1" applyFont="1" applyFill="1" applyBorder="1" applyAlignment="1" applyProtection="1">
      <alignment horizontal="right" vertical="center"/>
      <protection hidden="1"/>
    </xf>
    <xf numFmtId="182" fontId="65" fillId="33" borderId="60" xfId="0" applyNumberFormat="1" applyFont="1" applyFill="1" applyBorder="1" applyAlignment="1" applyProtection="1">
      <alignment horizontal="center" vertical="center"/>
      <protection hidden="1"/>
    </xf>
    <xf numFmtId="0" fontId="84" fillId="33" borderId="60" xfId="0" applyFont="1" applyFill="1" applyBorder="1" applyProtection="1">
      <alignment vertical="center"/>
      <protection hidden="1"/>
    </xf>
    <xf numFmtId="0" fontId="5" fillId="33" borderId="91" xfId="0" applyNumberFormat="1" applyFont="1" applyFill="1" applyBorder="1" applyAlignment="1" applyProtection="1">
      <alignment vertical="center"/>
      <protection hidden="1"/>
    </xf>
    <xf numFmtId="0" fontId="65" fillId="33" borderId="60" xfId="0" applyNumberFormat="1" applyFont="1" applyFill="1" applyBorder="1" applyAlignment="1" applyProtection="1">
      <alignment vertical="center"/>
      <protection hidden="1"/>
    </xf>
    <xf numFmtId="0" fontId="65" fillId="33" borderId="60" xfId="0" applyNumberFormat="1" applyFont="1" applyFill="1" applyBorder="1" applyAlignment="1" applyProtection="1">
      <alignment horizontal="right" vertical="center"/>
      <protection hidden="1"/>
    </xf>
    <xf numFmtId="0" fontId="103" fillId="33" borderId="61" xfId="0" applyNumberFormat="1" applyFont="1" applyFill="1" applyBorder="1" applyAlignment="1" applyProtection="1">
      <alignment vertical="center"/>
      <protection hidden="1"/>
    </xf>
    <xf numFmtId="0" fontId="68" fillId="0" borderId="62" xfId="0" applyFont="1" applyFill="1" applyBorder="1" applyAlignment="1" applyProtection="1">
      <alignment horizontal="left" vertical="center"/>
      <protection hidden="1"/>
    </xf>
    <xf numFmtId="0" fontId="108" fillId="24" borderId="0" xfId="0" applyNumberFormat="1" applyFont="1" applyFill="1" applyBorder="1" applyAlignment="1" applyProtection="1">
      <alignment horizontal="left" vertical="center"/>
      <protection locked="0"/>
    </xf>
    <xf numFmtId="0" fontId="109" fillId="0" borderId="0" xfId="0" applyNumberFormat="1" applyFont="1" applyFill="1" applyBorder="1" applyAlignment="1" applyProtection="1">
      <alignment horizontal="right" vertical="center"/>
      <protection hidden="1"/>
    </xf>
    <xf numFmtId="0" fontId="108" fillId="24" borderId="64" xfId="0" applyNumberFormat="1" applyFont="1" applyFill="1" applyBorder="1" applyAlignment="1" applyProtection="1">
      <alignment horizontal="left" vertical="center"/>
      <protection locked="0"/>
    </xf>
    <xf numFmtId="0" fontId="85" fillId="0" borderId="0" xfId="0" applyFont="1" applyFill="1" applyBorder="1" applyAlignment="1" applyProtection="1">
      <alignment vertical="center"/>
      <protection hidden="1"/>
    </xf>
    <xf numFmtId="0" fontId="68" fillId="0" borderId="65" xfId="0" applyFont="1" applyFill="1" applyBorder="1" applyAlignment="1" applyProtection="1">
      <alignment horizontal="left" vertical="center"/>
      <protection hidden="1"/>
    </xf>
    <xf numFmtId="0" fontId="109" fillId="24" borderId="66" xfId="0" applyNumberFormat="1" applyFont="1" applyFill="1" applyBorder="1" applyAlignment="1" applyProtection="1">
      <alignment horizontal="left" vertical="center"/>
      <protection locked="0"/>
    </xf>
    <xf numFmtId="0" fontId="109" fillId="0" borderId="66" xfId="0" applyNumberFormat="1" applyFont="1" applyFill="1" applyBorder="1" applyAlignment="1" applyProtection="1">
      <alignment horizontal="right" vertical="center"/>
      <protection hidden="1"/>
    </xf>
    <xf numFmtId="0" fontId="109" fillId="24" borderId="83" xfId="0" applyNumberFormat="1" applyFont="1" applyFill="1" applyBorder="1" applyAlignment="1" applyProtection="1">
      <alignment horizontal="left" vertical="center"/>
      <protection locked="0"/>
    </xf>
    <xf numFmtId="0" fontId="41" fillId="0" borderId="66" xfId="0" applyFont="1" applyFill="1" applyBorder="1" applyAlignment="1" applyProtection="1">
      <alignment horizontal="left" vertical="top"/>
      <protection hidden="1"/>
    </xf>
    <xf numFmtId="0" fontId="41" fillId="0" borderId="67" xfId="0" applyFont="1" applyFill="1" applyBorder="1" applyAlignment="1" applyProtection="1">
      <alignment horizontal="left" vertical="top"/>
      <protection hidden="1"/>
    </xf>
    <xf numFmtId="0" fontId="57" fillId="0" borderId="0" xfId="0" applyFont="1" applyFill="1" applyProtection="1">
      <alignment vertical="center"/>
      <protection hidden="1"/>
    </xf>
    <xf numFmtId="0" fontId="110" fillId="0" borderId="52" xfId="0" quotePrefix="1" applyNumberFormat="1" applyFont="1" applyFill="1" applyBorder="1" applyAlignment="1" applyProtection="1">
      <alignment horizontal="left" vertical="center"/>
      <protection hidden="1"/>
    </xf>
    <xf numFmtId="0" fontId="111" fillId="0" borderId="53" xfId="0" applyFont="1" applyFill="1" applyBorder="1" applyAlignment="1" applyProtection="1">
      <alignment horizontal="right" vertical="center"/>
      <protection hidden="1"/>
    </xf>
    <xf numFmtId="0" fontId="60" fillId="0" borderId="53" xfId="0" applyFont="1" applyFill="1" applyBorder="1" applyAlignment="1" applyProtection="1">
      <alignment horizontal="right" vertical="center"/>
      <protection hidden="1"/>
    </xf>
    <xf numFmtId="0" fontId="111" fillId="0" borderId="53" xfId="0" quotePrefix="1" applyNumberFormat="1" applyFont="1" applyFill="1" applyBorder="1" applyAlignment="1" applyProtection="1">
      <alignment horizontal="left" vertical="center"/>
      <protection hidden="1"/>
    </xf>
    <xf numFmtId="0" fontId="57" fillId="0" borderId="53" xfId="0" applyFont="1" applyFill="1" applyBorder="1" applyProtection="1">
      <alignment vertical="center"/>
      <protection hidden="1"/>
    </xf>
    <xf numFmtId="0" fontId="111" fillId="0" borderId="53" xfId="0" quotePrefix="1" applyNumberFormat="1" applyFont="1" applyFill="1" applyBorder="1" applyAlignment="1" applyProtection="1">
      <alignment horizontal="center" vertical="center"/>
      <protection hidden="1"/>
    </xf>
    <xf numFmtId="0" fontId="111" fillId="0" borderId="53" xfId="0" applyFont="1" applyFill="1" applyBorder="1" applyAlignment="1" applyProtection="1">
      <alignment horizontal="center" vertical="center"/>
      <protection hidden="1"/>
    </xf>
    <xf numFmtId="0" fontId="111" fillId="0" borderId="53" xfId="0" applyFont="1" applyFill="1" applyBorder="1" applyAlignment="1" applyProtection="1">
      <alignment vertical="center"/>
      <protection hidden="1"/>
    </xf>
    <xf numFmtId="0" fontId="111" fillId="0" borderId="54" xfId="0" applyFont="1" applyFill="1" applyBorder="1" applyAlignment="1" applyProtection="1">
      <alignment vertical="center"/>
      <protection hidden="1"/>
    </xf>
    <xf numFmtId="0" fontId="110" fillId="0" borderId="64" xfId="0" quotePrefix="1" applyNumberFormat="1" applyFont="1" applyFill="1" applyBorder="1" applyAlignment="1" applyProtection="1">
      <alignment horizontal="left" vertical="center"/>
      <protection hidden="1"/>
    </xf>
    <xf numFmtId="0" fontId="112" fillId="0" borderId="0" xfId="0" applyFont="1" applyFill="1" applyBorder="1" applyAlignment="1" applyProtection="1">
      <alignment horizontal="right" vertical="center"/>
      <protection hidden="1"/>
    </xf>
    <xf numFmtId="0" fontId="111" fillId="0" borderId="0" xfId="0" applyNumberFormat="1" applyFont="1" applyFill="1" applyBorder="1" applyAlignment="1" applyProtection="1">
      <alignment horizontal="center" vertical="center"/>
      <protection hidden="1"/>
    </xf>
    <xf numFmtId="0" fontId="111" fillId="0" borderId="0" xfId="0" applyFont="1" applyFill="1" applyBorder="1" applyAlignment="1" applyProtection="1">
      <alignment horizontal="right" vertical="center"/>
      <protection hidden="1"/>
    </xf>
    <xf numFmtId="0" fontId="61" fillId="0" borderId="0" xfId="0" applyFont="1" applyBorder="1" applyAlignment="1" applyProtection="1">
      <alignment vertical="center"/>
      <protection hidden="1"/>
    </xf>
    <xf numFmtId="0" fontId="61" fillId="0" borderId="0" xfId="0" applyFont="1" applyBorder="1" applyAlignment="1" applyProtection="1">
      <alignment horizontal="center" vertical="center"/>
      <protection hidden="1"/>
    </xf>
    <xf numFmtId="0" fontId="111" fillId="0" borderId="0" xfId="0" applyNumberFormat="1" applyFont="1" applyFill="1" applyBorder="1" applyAlignment="1" applyProtection="1">
      <alignment horizontal="right" vertical="center"/>
      <protection hidden="1"/>
    </xf>
    <xf numFmtId="0" fontId="68" fillId="0" borderId="0" xfId="0" applyFont="1" applyBorder="1" applyAlignment="1" applyProtection="1">
      <alignment vertical="center"/>
      <protection hidden="1"/>
    </xf>
    <xf numFmtId="0" fontId="111" fillId="0" borderId="0" xfId="0" applyFont="1" applyBorder="1" applyAlignment="1" applyProtection="1">
      <alignment horizontal="center" vertical="center"/>
      <protection hidden="1"/>
    </xf>
    <xf numFmtId="0" fontId="111" fillId="0" borderId="17" xfId="0" applyFont="1" applyFill="1" applyBorder="1" applyAlignment="1" applyProtection="1">
      <alignment horizontal="right" vertical="center"/>
      <protection hidden="1"/>
    </xf>
    <xf numFmtId="0" fontId="112" fillId="0" borderId="0" xfId="0" applyNumberFormat="1" applyFont="1" applyFill="1" applyBorder="1" applyAlignment="1" applyProtection="1">
      <alignment horizontal="left" vertical="center"/>
      <protection hidden="1"/>
    </xf>
    <xf numFmtId="0" fontId="112" fillId="0" borderId="0" xfId="0" quotePrefix="1" applyNumberFormat="1" applyFont="1" applyFill="1" applyBorder="1" applyAlignment="1" applyProtection="1">
      <alignment horizontal="left" vertical="center"/>
      <protection hidden="1"/>
    </xf>
    <xf numFmtId="0" fontId="68" fillId="0" borderId="0" xfId="0" quotePrefix="1" applyNumberFormat="1" applyFont="1" applyFill="1" applyBorder="1" applyAlignment="1" applyProtection="1">
      <alignment horizontal="left" vertical="center"/>
      <protection hidden="1"/>
    </xf>
    <xf numFmtId="0" fontId="113" fillId="0" borderId="0" xfId="0" quotePrefix="1" applyNumberFormat="1" applyFont="1" applyFill="1" applyBorder="1" applyAlignment="1" applyProtection="1">
      <alignment horizontal="center" vertical="center"/>
      <protection hidden="1"/>
    </xf>
    <xf numFmtId="0" fontId="113" fillId="0" borderId="0" xfId="0" applyFont="1" applyFill="1" applyBorder="1" applyAlignment="1" applyProtection="1">
      <alignment horizontal="center" vertical="center"/>
      <protection hidden="1"/>
    </xf>
    <xf numFmtId="0" fontId="68" fillId="0" borderId="17" xfId="0" applyFont="1" applyFill="1" applyBorder="1" applyAlignment="1" applyProtection="1">
      <alignment vertical="center"/>
      <protection hidden="1"/>
    </xf>
    <xf numFmtId="178" fontId="57" fillId="0" borderId="0" xfId="0" applyNumberFormat="1" applyFont="1" applyFill="1" applyBorder="1" applyProtection="1">
      <alignment vertical="center"/>
      <protection hidden="1"/>
    </xf>
    <xf numFmtId="0" fontId="60" fillId="0" borderId="64" xfId="0" applyFont="1" applyFill="1" applyBorder="1" applyAlignment="1" applyProtection="1">
      <alignment horizontal="left" vertical="center"/>
      <protection hidden="1"/>
    </xf>
    <xf numFmtId="0" fontId="112" fillId="0" borderId="0" xfId="0" applyFont="1" applyFill="1" applyBorder="1" applyAlignment="1" applyProtection="1">
      <alignment horizontal="left" vertical="center"/>
      <protection hidden="1"/>
    </xf>
    <xf numFmtId="0" fontId="112" fillId="0" borderId="0" xfId="0" applyFont="1" applyBorder="1" applyAlignment="1" applyProtection="1">
      <alignment horizontal="left" vertical="center"/>
      <protection hidden="1"/>
    </xf>
    <xf numFmtId="0" fontId="113" fillId="0" borderId="0" xfId="0" applyFont="1" applyFill="1" applyBorder="1" applyAlignment="1" applyProtection="1">
      <alignment vertical="center"/>
      <protection hidden="1"/>
    </xf>
    <xf numFmtId="0" fontId="60" fillId="0" borderId="56" xfId="0" applyFont="1" applyFill="1" applyBorder="1" applyAlignment="1" applyProtection="1">
      <alignment horizontal="left" vertical="center"/>
      <protection hidden="1"/>
    </xf>
    <xf numFmtId="0" fontId="112" fillId="0" borderId="57" xfId="0" applyFont="1" applyFill="1" applyBorder="1" applyAlignment="1" applyProtection="1">
      <alignment horizontal="right" vertical="center"/>
      <protection hidden="1"/>
    </xf>
    <xf numFmtId="0" fontId="112" fillId="0" borderId="57" xfId="0" applyFont="1" applyFill="1" applyBorder="1" applyAlignment="1" applyProtection="1">
      <alignment horizontal="left" vertical="center"/>
      <protection hidden="1"/>
    </xf>
    <xf numFmtId="0" fontId="60" fillId="0" borderId="57" xfId="0" applyFont="1" applyBorder="1" applyAlignment="1" applyProtection="1">
      <alignment vertical="center"/>
      <protection hidden="1"/>
    </xf>
    <xf numFmtId="0" fontId="61" fillId="0" borderId="57" xfId="0" applyFont="1" applyBorder="1" applyAlignment="1" applyProtection="1">
      <alignment vertical="center"/>
      <protection hidden="1"/>
    </xf>
    <xf numFmtId="0" fontId="113" fillId="0" borderId="57" xfId="0" applyFont="1" applyFill="1" applyBorder="1" applyAlignment="1" applyProtection="1">
      <alignment vertical="center"/>
      <protection hidden="1"/>
    </xf>
    <xf numFmtId="0" fontId="61" fillId="0" borderId="57" xfId="0" applyFont="1" applyBorder="1" applyAlignment="1" applyProtection="1">
      <alignment horizontal="center" vertical="center"/>
      <protection hidden="1"/>
    </xf>
    <xf numFmtId="0" fontId="68" fillId="0" borderId="57" xfId="0" applyFont="1" applyBorder="1" applyAlignment="1" applyProtection="1">
      <alignment vertical="center"/>
      <protection hidden="1"/>
    </xf>
    <xf numFmtId="0" fontId="68" fillId="0" borderId="58" xfId="0" applyFont="1" applyFill="1" applyBorder="1" applyAlignment="1" applyProtection="1">
      <alignment vertical="center"/>
      <protection hidden="1"/>
    </xf>
    <xf numFmtId="0" fontId="60" fillId="0" borderId="0" xfId="0" applyFont="1" applyBorder="1" applyAlignment="1" applyProtection="1">
      <alignment vertical="center"/>
      <protection hidden="1"/>
    </xf>
    <xf numFmtId="0" fontId="113" fillId="0" borderId="0" xfId="0" applyFont="1" applyBorder="1" applyAlignment="1" applyProtection="1">
      <alignment vertical="center"/>
      <protection hidden="1"/>
    </xf>
    <xf numFmtId="0" fontId="68" fillId="0" borderId="0" xfId="0" applyFont="1" applyFill="1" applyBorder="1" applyAlignment="1" applyProtection="1">
      <alignment horizontal="left" vertical="center"/>
      <protection hidden="1"/>
    </xf>
    <xf numFmtId="0" fontId="114" fillId="0" borderId="0" xfId="0" quotePrefix="1" applyNumberFormat="1" applyFont="1" applyFill="1" applyBorder="1" applyAlignment="1" applyProtection="1">
      <alignment horizontal="left" vertical="center"/>
      <protection hidden="1"/>
    </xf>
    <xf numFmtId="0" fontId="115" fillId="0" borderId="0" xfId="0" quotePrefix="1" applyNumberFormat="1" applyFont="1" applyFill="1" applyBorder="1" applyAlignment="1" applyProtection="1">
      <alignment horizontal="left" vertical="center"/>
      <protection hidden="1"/>
    </xf>
    <xf numFmtId="0" fontId="115" fillId="0" borderId="0" xfId="0" quotePrefix="1" applyNumberFormat="1" applyFont="1" applyFill="1" applyBorder="1" applyAlignment="1" applyProtection="1">
      <alignment horizontal="right" vertical="center"/>
      <protection hidden="1"/>
    </xf>
    <xf numFmtId="0" fontId="114" fillId="0" borderId="0" xfId="0" quotePrefix="1" applyNumberFormat="1" applyFont="1" applyFill="1" applyBorder="1" applyAlignment="1" applyProtection="1">
      <alignment horizontal="right" vertical="center"/>
      <protection hidden="1"/>
    </xf>
    <xf numFmtId="0" fontId="116" fillId="37" borderId="59" xfId="0" applyNumberFormat="1" applyFont="1" applyFill="1" applyBorder="1" applyAlignment="1" applyProtection="1">
      <alignment vertical="center"/>
      <protection hidden="1"/>
    </xf>
    <xf numFmtId="0" fontId="117" fillId="37" borderId="60" xfId="0" applyFont="1" applyFill="1" applyBorder="1" applyAlignment="1" applyProtection="1">
      <alignment horizontal="left" vertical="center"/>
      <protection hidden="1"/>
    </xf>
    <xf numFmtId="0" fontId="117" fillId="37" borderId="60" xfId="0" applyFont="1" applyFill="1" applyBorder="1" applyAlignment="1" applyProtection="1">
      <alignment vertical="center"/>
      <protection hidden="1"/>
    </xf>
    <xf numFmtId="0" fontId="116" fillId="37" borderId="60" xfId="0" applyNumberFormat="1" applyFont="1" applyFill="1" applyBorder="1" applyAlignment="1" applyProtection="1">
      <alignment vertical="center"/>
      <protection hidden="1"/>
    </xf>
    <xf numFmtId="0" fontId="118" fillId="37" borderId="61" xfId="0" applyFont="1" applyFill="1" applyBorder="1" applyAlignment="1" applyProtection="1">
      <alignment vertical="center"/>
      <protection hidden="1"/>
    </xf>
    <xf numFmtId="0" fontId="29" fillId="0" borderId="0" xfId="0" applyFont="1" applyFill="1" applyProtection="1">
      <alignment vertical="center"/>
      <protection hidden="1"/>
    </xf>
    <xf numFmtId="180" fontId="38" fillId="0" borderId="0" xfId="0" applyNumberFormat="1" applyFont="1" applyFill="1" applyAlignment="1" applyProtection="1">
      <alignment horizontal="left"/>
      <protection hidden="1"/>
    </xf>
    <xf numFmtId="0" fontId="7" fillId="0" borderId="0" xfId="0" applyFont="1" applyFill="1" applyBorder="1" applyAlignment="1" applyProtection="1">
      <alignment horizontal="left" vertical="center"/>
      <protection hidden="1"/>
    </xf>
    <xf numFmtId="0" fontId="113" fillId="0" borderId="0" xfId="0" applyFont="1" applyFill="1" applyBorder="1" applyAlignment="1" applyProtection="1">
      <alignment horizontal="right" vertical="top"/>
      <protection hidden="1"/>
    </xf>
    <xf numFmtId="0" fontId="29" fillId="39" borderId="10" xfId="0" applyFont="1" applyFill="1" applyBorder="1" applyProtection="1">
      <alignment vertical="center"/>
      <protection hidden="1"/>
    </xf>
    <xf numFmtId="0" fontId="38" fillId="0" borderId="0" xfId="0" applyFont="1" applyFill="1" applyBorder="1" applyAlignment="1" applyProtection="1">
      <alignment vertical="top"/>
      <protection hidden="1"/>
    </xf>
    <xf numFmtId="184" fontId="35" fillId="0" borderId="0" xfId="0" applyNumberFormat="1" applyFont="1" applyFill="1" applyBorder="1" applyProtection="1">
      <alignment vertical="center"/>
      <protection hidden="1"/>
    </xf>
    <xf numFmtId="0" fontId="29" fillId="0" borderId="0" xfId="0" applyFont="1" applyFill="1" applyBorder="1" applyAlignment="1" applyProtection="1">
      <alignment horizontal="center" vertical="justify"/>
      <protection hidden="1"/>
    </xf>
    <xf numFmtId="0" fontId="27" fillId="0" borderId="0" xfId="0" applyFont="1" applyFill="1" applyBorder="1" applyAlignment="1" applyProtection="1">
      <alignment horizontal="center" vertical="justify"/>
      <protection hidden="1"/>
    </xf>
    <xf numFmtId="0" fontId="121" fillId="0" borderId="0" xfId="0" applyFont="1" applyFill="1" applyProtection="1">
      <alignment vertical="center"/>
      <protection hidden="1"/>
    </xf>
    <xf numFmtId="0" fontId="122" fillId="0" borderId="0" xfId="0" applyFont="1" applyFill="1" applyAlignment="1" applyProtection="1">
      <alignment horizontal="left"/>
      <protection hidden="1"/>
    </xf>
    <xf numFmtId="0" fontId="123" fillId="0" borderId="0" xfId="0" applyFont="1" applyFill="1" applyProtection="1">
      <alignment vertical="center"/>
      <protection hidden="1"/>
    </xf>
    <xf numFmtId="0" fontId="7" fillId="0" borderId="0" xfId="0" applyFont="1" applyFill="1" applyProtection="1">
      <alignment vertical="center"/>
      <protection hidden="1"/>
    </xf>
    <xf numFmtId="180" fontId="108" fillId="0" borderId="0" xfId="0" applyNumberFormat="1" applyFont="1" applyFill="1" applyAlignment="1" applyProtection="1">
      <alignment horizontal="left"/>
      <protection hidden="1"/>
    </xf>
    <xf numFmtId="0" fontId="24" fillId="0" borderId="0" xfId="0" applyFont="1" applyFill="1" applyProtection="1">
      <alignment vertical="center"/>
      <protection hidden="1"/>
    </xf>
    <xf numFmtId="0" fontId="86" fillId="37" borderId="69" xfId="0" applyFont="1" applyFill="1" applyBorder="1" applyAlignment="1" applyProtection="1">
      <alignment horizontal="left" vertical="center"/>
      <protection hidden="1"/>
    </xf>
    <xf numFmtId="0" fontId="124" fillId="37" borderId="69" xfId="0" applyFont="1" applyFill="1" applyBorder="1" applyAlignment="1" applyProtection="1">
      <alignment vertical="center"/>
      <protection hidden="1"/>
    </xf>
    <xf numFmtId="180" fontId="38" fillId="37" borderId="69" xfId="0" applyNumberFormat="1" applyFont="1" applyFill="1" applyBorder="1" applyAlignment="1" applyProtection="1">
      <alignment horizontal="left" vertical="center"/>
      <protection hidden="1"/>
    </xf>
    <xf numFmtId="180" fontId="38" fillId="37" borderId="60" xfId="0" applyNumberFormat="1" applyFont="1" applyFill="1" applyBorder="1" applyAlignment="1" applyProtection="1">
      <alignment horizontal="left" vertical="center"/>
      <protection hidden="1"/>
    </xf>
    <xf numFmtId="183" fontId="32" fillId="37" borderId="71" xfId="0" applyNumberFormat="1" applyFont="1" applyFill="1" applyBorder="1" applyAlignment="1" applyProtection="1">
      <alignment vertical="center"/>
      <protection hidden="1"/>
    </xf>
    <xf numFmtId="185" fontId="54" fillId="0" borderId="0" xfId="0" applyNumberFormat="1" applyFont="1" applyFill="1" applyAlignment="1" applyProtection="1">
      <alignment horizontal="center"/>
      <protection hidden="1"/>
    </xf>
    <xf numFmtId="0" fontId="27" fillId="0" borderId="26" xfId="0" applyFont="1" applyFill="1" applyBorder="1" applyAlignment="1" applyProtection="1">
      <alignment horizontal="center" vertical="justify"/>
      <protection hidden="1"/>
    </xf>
    <xf numFmtId="0" fontId="30" fillId="0" borderId="0" xfId="0" applyFont="1" applyFill="1" applyProtection="1">
      <alignment vertical="center"/>
      <protection hidden="1"/>
    </xf>
    <xf numFmtId="0" fontId="24" fillId="27" borderId="59" xfId="0" applyNumberFormat="1" applyFont="1" applyFill="1" applyBorder="1" applyAlignment="1" applyProtection="1">
      <alignment vertical="center"/>
      <protection hidden="1"/>
    </xf>
    <xf numFmtId="0" fontId="86" fillId="27" borderId="60" xfId="0" applyFont="1" applyFill="1" applyBorder="1" applyAlignment="1" applyProtection="1">
      <alignment horizontal="left" vertical="center"/>
      <protection hidden="1"/>
    </xf>
    <xf numFmtId="0" fontId="119" fillId="27" borderId="60" xfId="0" applyFont="1" applyFill="1" applyBorder="1" applyAlignment="1" applyProtection="1">
      <alignment vertical="center"/>
      <protection hidden="1"/>
    </xf>
    <xf numFmtId="0" fontId="120" fillId="27" borderId="60" xfId="0" applyFont="1" applyFill="1" applyBorder="1" applyAlignment="1" applyProtection="1">
      <alignment vertical="center"/>
      <protection hidden="1"/>
    </xf>
    <xf numFmtId="0" fontId="120" fillId="27" borderId="61" xfId="0" applyFont="1" applyFill="1" applyBorder="1" applyAlignment="1" applyProtection="1">
      <alignment vertical="center"/>
      <protection hidden="1"/>
    </xf>
    <xf numFmtId="180" fontId="24" fillId="27" borderId="59" xfId="0" applyNumberFormat="1" applyFont="1" applyFill="1" applyBorder="1" applyAlignment="1" applyProtection="1">
      <alignment horizontal="centerContinuous" vertical="center"/>
      <protection hidden="1"/>
    </xf>
    <xf numFmtId="180" fontId="24" fillId="27" borderId="60" xfId="0" applyNumberFormat="1" applyFont="1" applyFill="1" applyBorder="1" applyAlignment="1" applyProtection="1">
      <alignment horizontal="centerContinuous" vertical="center"/>
      <protection hidden="1"/>
    </xf>
    <xf numFmtId="0" fontId="29" fillId="27" borderId="26" xfId="0" applyFont="1" applyFill="1" applyBorder="1" applyAlignment="1" applyProtection="1">
      <alignment horizontal="centerContinuous" vertical="center"/>
      <protection hidden="1"/>
    </xf>
    <xf numFmtId="0" fontId="7" fillId="27" borderId="27" xfId="0" applyFont="1" applyFill="1" applyBorder="1" applyAlignment="1" applyProtection="1">
      <alignment horizontal="centerContinuous" vertical="center"/>
      <protection hidden="1"/>
    </xf>
    <xf numFmtId="0" fontId="7" fillId="27" borderId="50" xfId="0" applyFont="1" applyFill="1" applyBorder="1" applyAlignment="1" applyProtection="1">
      <alignment horizontal="centerContinuous" vertical="center"/>
      <protection hidden="1"/>
    </xf>
    <xf numFmtId="0" fontId="7" fillId="27" borderId="92" xfId="0" applyFont="1" applyFill="1" applyBorder="1" applyAlignment="1" applyProtection="1">
      <alignment horizontal="center" vertical="distributed"/>
      <protection hidden="1"/>
    </xf>
    <xf numFmtId="0" fontId="29" fillId="0" borderId="26" xfId="0" applyFont="1" applyFill="1" applyBorder="1" applyProtection="1">
      <alignment vertical="center"/>
      <protection hidden="1"/>
    </xf>
    <xf numFmtId="0" fontId="27" fillId="0" borderId="27" xfId="0" applyFont="1" applyFill="1" applyBorder="1" applyAlignment="1" applyProtection="1">
      <alignment horizontal="center" vertical="justify"/>
      <protection hidden="1"/>
    </xf>
    <xf numFmtId="0" fontId="29" fillId="0" borderId="50" xfId="0" applyFont="1" applyFill="1" applyBorder="1" applyProtection="1">
      <alignment vertical="center"/>
      <protection hidden="1"/>
    </xf>
    <xf numFmtId="0" fontId="30" fillId="0" borderId="10" xfId="0" applyFont="1" applyFill="1" applyBorder="1" applyProtection="1">
      <alignment vertical="center"/>
      <protection hidden="1"/>
    </xf>
    <xf numFmtId="180" fontId="24" fillId="27" borderId="77" xfId="0" applyNumberFormat="1" applyFont="1" applyFill="1" applyBorder="1" applyAlignment="1" applyProtection="1">
      <alignment horizontal="centerContinuous" vertical="top"/>
      <protection hidden="1"/>
    </xf>
    <xf numFmtId="180" fontId="24" fillId="27" borderId="57" xfId="0" applyNumberFormat="1" applyFont="1" applyFill="1" applyBorder="1" applyAlignment="1" applyProtection="1">
      <alignment horizontal="centerContinuous" vertical="top"/>
      <protection hidden="1"/>
    </xf>
    <xf numFmtId="180" fontId="24" fillId="27" borderId="58" xfId="0" applyNumberFormat="1" applyFont="1" applyFill="1" applyBorder="1" applyAlignment="1" applyProtection="1">
      <alignment horizontal="centerContinuous" vertical="top"/>
      <protection hidden="1"/>
    </xf>
    <xf numFmtId="183" fontId="27" fillId="27" borderId="93" xfId="0" applyNumberFormat="1" applyFont="1" applyFill="1" applyBorder="1" applyAlignment="1" applyProtection="1">
      <alignment horizontal="center" vertical="center" wrapText="1"/>
      <protection hidden="1"/>
    </xf>
    <xf numFmtId="183" fontId="86" fillId="27" borderId="94" xfId="0" applyNumberFormat="1" applyFont="1" applyFill="1" applyBorder="1" applyAlignment="1" applyProtection="1">
      <alignment horizontal="center" vertical="center" wrapText="1"/>
      <protection hidden="1"/>
    </xf>
    <xf numFmtId="183" fontId="27" fillId="27" borderId="57" xfId="0" applyNumberFormat="1" applyFont="1" applyFill="1" applyBorder="1" applyAlignment="1" applyProtection="1">
      <alignment horizontal="center" vertical="center" wrapText="1"/>
      <protection hidden="1"/>
    </xf>
    <xf numFmtId="183" fontId="86" fillId="27" borderId="95" xfId="0" applyNumberFormat="1" applyFont="1" applyFill="1" applyBorder="1" applyAlignment="1" applyProtection="1">
      <alignment horizontal="center" vertical="center" wrapText="1"/>
      <protection hidden="1"/>
    </xf>
    <xf numFmtId="183" fontId="16" fillId="27" borderId="96" xfId="0" applyNumberFormat="1" applyFont="1" applyFill="1" applyBorder="1" applyAlignment="1" applyProtection="1">
      <alignment horizontal="center" vertical="top" wrapText="1"/>
      <protection hidden="1"/>
    </xf>
    <xf numFmtId="185" fontId="40" fillId="40" borderId="55" xfId="0" applyNumberFormat="1" applyFont="1" applyFill="1" applyBorder="1" applyAlignment="1" applyProtection="1">
      <alignment horizontal="left" vertical="center" wrapText="1"/>
      <protection hidden="1"/>
    </xf>
    <xf numFmtId="0" fontId="29" fillId="0" borderId="55" xfId="0" applyFont="1" applyFill="1" applyBorder="1" applyAlignment="1" applyProtection="1">
      <alignment horizontal="center" vertical="justify"/>
      <protection hidden="1"/>
    </xf>
    <xf numFmtId="0" fontId="29" fillId="0" borderId="10" xfId="0" applyFont="1" applyFill="1" applyBorder="1" applyAlignment="1" applyProtection="1">
      <alignment horizontal="center" vertical="justify"/>
      <protection hidden="1"/>
    </xf>
    <xf numFmtId="180" fontId="38" fillId="33" borderId="62" xfId="0" applyNumberFormat="1" applyFont="1" applyFill="1" applyBorder="1" applyAlignment="1" applyProtection="1">
      <alignment horizontal="left" vertical="center"/>
      <protection hidden="1"/>
    </xf>
    <xf numFmtId="180" fontId="38" fillId="33" borderId="0" xfId="0" applyNumberFormat="1" applyFont="1" applyFill="1" applyBorder="1" applyAlignment="1" applyProtection="1">
      <alignment horizontal="left" vertical="center"/>
      <protection hidden="1"/>
    </xf>
    <xf numFmtId="180" fontId="38" fillId="33" borderId="0" xfId="0" applyNumberFormat="1" applyFont="1" applyFill="1" applyBorder="1" applyAlignment="1" applyProtection="1">
      <alignment horizontal="left"/>
      <protection hidden="1"/>
    </xf>
    <xf numFmtId="180" fontId="38" fillId="33" borderId="97" xfId="0" applyNumberFormat="1" applyFont="1" applyFill="1" applyBorder="1" applyAlignment="1" applyProtection="1">
      <alignment horizontal="left"/>
      <protection hidden="1"/>
    </xf>
    <xf numFmtId="192" fontId="103" fillId="33" borderId="98" xfId="0" applyNumberFormat="1" applyFont="1" applyFill="1" applyBorder="1" applyAlignment="1" applyProtection="1">
      <alignment horizontal="center" vertical="center"/>
      <protection hidden="1"/>
    </xf>
    <xf numFmtId="183" fontId="30" fillId="33" borderId="0" xfId="0" applyNumberFormat="1" applyFont="1" applyFill="1" applyBorder="1" applyAlignment="1" applyProtection="1">
      <alignment horizontal="center" vertical="center"/>
      <protection hidden="1"/>
    </xf>
    <xf numFmtId="192" fontId="103" fillId="33" borderId="99" xfId="0" applyNumberFormat="1" applyFont="1" applyFill="1" applyBorder="1" applyAlignment="1" applyProtection="1">
      <alignment horizontal="center" vertical="center"/>
      <protection hidden="1"/>
    </xf>
    <xf numFmtId="183" fontId="65" fillId="33" borderId="100" xfId="0" applyNumberFormat="1" applyFont="1" applyFill="1" applyBorder="1" applyAlignment="1" applyProtection="1">
      <alignment horizontal="center" vertical="center"/>
      <protection hidden="1"/>
    </xf>
    <xf numFmtId="0" fontId="54" fillId="0" borderId="10" xfId="0" applyNumberFormat="1" applyFont="1" applyFill="1" applyBorder="1" applyAlignment="1" applyProtection="1">
      <alignment horizontal="center" vertical="center" wrapText="1"/>
      <protection hidden="1"/>
    </xf>
    <xf numFmtId="0" fontId="27" fillId="0" borderId="10" xfId="0" applyNumberFormat="1" applyFont="1" applyFill="1" applyBorder="1" applyAlignment="1" applyProtection="1">
      <alignment horizontal="center" vertical="justify"/>
      <protection hidden="1"/>
    </xf>
    <xf numFmtId="0" fontId="24" fillId="31" borderId="101" xfId="0" applyFont="1" applyFill="1" applyBorder="1" applyAlignment="1" applyProtection="1">
      <alignment vertical="center"/>
      <protection hidden="1"/>
    </xf>
    <xf numFmtId="0" fontId="24" fillId="31" borderId="102" xfId="0" applyNumberFormat="1" applyFont="1" applyFill="1" applyBorder="1" applyAlignment="1" applyProtection="1">
      <alignment horizontal="left" vertical="center"/>
      <protection hidden="1"/>
    </xf>
    <xf numFmtId="0" fontId="34" fillId="31" borderId="103" xfId="0" applyNumberFormat="1" applyFont="1" applyFill="1" applyBorder="1" applyAlignment="1" applyProtection="1">
      <alignment horizontal="left" vertical="center"/>
      <protection hidden="1"/>
    </xf>
    <xf numFmtId="180" fontId="38" fillId="31" borderId="104" xfId="0" applyNumberFormat="1" applyFont="1" applyFill="1" applyBorder="1" applyAlignment="1" applyProtection="1">
      <alignment horizontal="left" vertical="center"/>
      <protection hidden="1"/>
    </xf>
    <xf numFmtId="180" fontId="38" fillId="31" borderId="102" xfId="0" applyNumberFormat="1" applyFont="1" applyFill="1" applyBorder="1" applyAlignment="1" applyProtection="1">
      <alignment horizontal="left" vertical="center"/>
      <protection hidden="1"/>
    </xf>
    <xf numFmtId="180" fontId="38" fillId="31" borderId="102" xfId="0" applyNumberFormat="1" applyFont="1" applyFill="1" applyBorder="1" applyAlignment="1" applyProtection="1">
      <alignment horizontal="left"/>
      <protection hidden="1"/>
    </xf>
    <xf numFmtId="180" fontId="38" fillId="31" borderId="105" xfId="0" applyNumberFormat="1" applyFont="1" applyFill="1" applyBorder="1" applyAlignment="1" applyProtection="1">
      <alignment horizontal="left"/>
      <protection hidden="1"/>
    </xf>
    <xf numFmtId="192" fontId="127" fillId="31" borderId="106" xfId="0" applyNumberFormat="1" applyFont="1" applyFill="1" applyBorder="1" applyAlignment="1" applyProtection="1">
      <alignment horizontal="center" vertical="center"/>
      <protection hidden="1"/>
    </xf>
    <xf numFmtId="183" fontId="128" fillId="31" borderId="102" xfId="0" applyNumberFormat="1" applyFont="1" applyFill="1" applyBorder="1" applyAlignment="1" applyProtection="1">
      <alignment horizontal="center" vertical="center"/>
      <protection hidden="1"/>
    </xf>
    <xf numFmtId="192" fontId="127" fillId="31" borderId="107" xfId="0" applyNumberFormat="1" applyFont="1" applyFill="1" applyBorder="1" applyAlignment="1" applyProtection="1">
      <alignment horizontal="center" vertical="center"/>
      <protection hidden="1"/>
    </xf>
    <xf numFmtId="183" fontId="128" fillId="31" borderId="108" xfId="0" applyNumberFormat="1" applyFont="1" applyFill="1" applyBorder="1" applyAlignment="1" applyProtection="1">
      <alignment horizontal="center" vertical="center"/>
      <protection hidden="1"/>
    </xf>
    <xf numFmtId="0" fontId="127" fillId="0" borderId="10" xfId="0" applyNumberFormat="1" applyFont="1" applyFill="1" applyBorder="1" applyAlignment="1" applyProtection="1">
      <alignment horizontal="center" vertical="center"/>
      <protection hidden="1"/>
    </xf>
    <xf numFmtId="0" fontId="30" fillId="0" borderId="51" xfId="0" applyFont="1" applyFill="1" applyBorder="1" applyProtection="1">
      <alignment vertical="center"/>
      <protection hidden="1"/>
    </xf>
    <xf numFmtId="0" fontId="24" fillId="27" borderId="62" xfId="0" quotePrefix="1" applyFont="1" applyFill="1" applyBorder="1" applyAlignment="1" applyProtection="1">
      <alignment vertical="center"/>
      <protection hidden="1"/>
    </xf>
    <xf numFmtId="0" fontId="126" fillId="27" borderId="109" xfId="0" applyNumberFormat="1" applyFont="1" applyFill="1" applyBorder="1" applyAlignment="1" applyProtection="1">
      <alignment horizontal="left" vertical="center"/>
      <protection hidden="1"/>
    </xf>
    <xf numFmtId="0" fontId="126" fillId="27" borderId="0" xfId="0" applyNumberFormat="1" applyFont="1" applyFill="1" applyBorder="1" applyAlignment="1" applyProtection="1">
      <alignment horizontal="left" vertical="center"/>
      <protection hidden="1"/>
    </xf>
    <xf numFmtId="0" fontId="126" fillId="27" borderId="0" xfId="0" applyNumberFormat="1" applyFont="1" applyFill="1" applyBorder="1" applyAlignment="1" applyProtection="1">
      <alignment vertical="center"/>
      <protection hidden="1"/>
    </xf>
    <xf numFmtId="0" fontId="129" fillId="27" borderId="63" xfId="0" applyFont="1" applyFill="1" applyBorder="1" applyAlignment="1" applyProtection="1">
      <alignment vertical="center"/>
      <protection hidden="1"/>
    </xf>
    <xf numFmtId="180" fontId="29" fillId="0" borderId="62" xfId="0" applyNumberFormat="1" applyFont="1" applyFill="1" applyBorder="1" applyAlignment="1" applyProtection="1">
      <alignment horizontal="left" vertical="center" wrapText="1"/>
      <protection locked="0"/>
    </xf>
    <xf numFmtId="180" fontId="29" fillId="0" borderId="0" xfId="0" applyNumberFormat="1" applyFont="1" applyFill="1" applyBorder="1" applyAlignment="1" applyProtection="1">
      <alignment horizontal="left" vertical="center" wrapText="1"/>
      <protection locked="0"/>
    </xf>
    <xf numFmtId="180" fontId="38" fillId="0" borderId="0" xfId="0" applyNumberFormat="1" applyFont="1" applyFill="1" applyBorder="1" applyAlignment="1" applyProtection="1">
      <alignment horizontal="left" wrapText="1"/>
      <protection locked="0"/>
    </xf>
    <xf numFmtId="183" fontId="37" fillId="27" borderId="110" xfId="0" applyNumberFormat="1" applyFont="1" applyFill="1" applyBorder="1" applyAlignment="1" applyProtection="1">
      <alignment horizontal="center" vertical="center"/>
      <protection hidden="1"/>
    </xf>
    <xf numFmtId="192" fontId="130" fillId="27" borderId="98" xfId="0" applyNumberFormat="1" applyFont="1" applyFill="1" applyBorder="1" applyAlignment="1" applyProtection="1">
      <alignment horizontal="center" vertical="center"/>
      <protection hidden="1"/>
    </xf>
    <xf numFmtId="192" fontId="130" fillId="27" borderId="99" xfId="0" applyNumberFormat="1" applyFont="1" applyFill="1" applyBorder="1" applyAlignment="1" applyProtection="1">
      <alignment horizontal="center" vertical="center"/>
      <protection hidden="1"/>
    </xf>
    <xf numFmtId="183" fontId="127" fillId="27" borderId="100" xfId="0" applyNumberFormat="1" applyFont="1" applyFill="1" applyBorder="1" applyAlignment="1" applyProtection="1">
      <alignment horizontal="center" vertical="center"/>
      <protection hidden="1"/>
    </xf>
    <xf numFmtId="0" fontId="37" fillId="27" borderId="10" xfId="0" applyNumberFormat="1" applyFont="1" applyFill="1" applyBorder="1" applyAlignment="1" applyProtection="1">
      <alignment horizontal="center" vertical="center"/>
      <protection hidden="1"/>
    </xf>
    <xf numFmtId="0" fontId="30" fillId="41" borderId="10" xfId="0" applyFont="1" applyFill="1" applyBorder="1" applyAlignment="1" applyProtection="1">
      <alignment horizontal="center" vertical="center"/>
      <protection hidden="1"/>
    </xf>
    <xf numFmtId="0" fontId="126" fillId="27" borderId="62" xfId="0" applyFont="1" applyFill="1" applyBorder="1" applyAlignment="1" applyProtection="1">
      <alignment horizontal="center"/>
      <protection hidden="1"/>
    </xf>
    <xf numFmtId="0" fontId="24" fillId="27" borderId="52" xfId="0" applyFont="1" applyFill="1" applyBorder="1" applyAlignment="1" applyProtection="1">
      <alignment vertical="center"/>
      <protection hidden="1"/>
    </xf>
    <xf numFmtId="0" fontId="34" fillId="27" borderId="53" xfId="0" applyFont="1" applyFill="1" applyBorder="1" applyAlignment="1" applyProtection="1">
      <alignment vertical="center"/>
      <protection hidden="1"/>
    </xf>
    <xf numFmtId="0" fontId="34" fillId="27" borderId="50" xfId="0" applyFont="1" applyFill="1" applyBorder="1" applyAlignment="1" applyProtection="1">
      <alignment vertical="center"/>
      <protection hidden="1"/>
    </xf>
    <xf numFmtId="0" fontId="34" fillId="27" borderId="82" xfId="0" applyFont="1" applyFill="1" applyBorder="1" applyAlignment="1" applyProtection="1">
      <alignment vertical="center"/>
      <protection hidden="1"/>
    </xf>
    <xf numFmtId="180" fontId="29" fillId="0" borderId="89" xfId="0" applyNumberFormat="1" applyFont="1" applyFill="1" applyBorder="1" applyAlignment="1" applyProtection="1">
      <alignment horizontal="left" vertical="center" wrapText="1"/>
      <protection locked="0"/>
    </xf>
    <xf numFmtId="180" fontId="29" fillId="0" borderId="53" xfId="0" applyNumberFormat="1" applyFont="1" applyFill="1" applyBorder="1" applyAlignment="1" applyProtection="1">
      <alignment horizontal="left" vertical="center" wrapText="1"/>
      <protection locked="0"/>
    </xf>
    <xf numFmtId="183" fontId="37" fillId="27" borderId="111" xfId="0" applyNumberFormat="1" applyFont="1" applyFill="1" applyBorder="1" applyAlignment="1" applyProtection="1">
      <alignment horizontal="center" vertical="center"/>
      <protection hidden="1"/>
    </xf>
    <xf numFmtId="192" fontId="130" fillId="27" borderId="53" xfId="0" applyNumberFormat="1" applyFont="1" applyFill="1" applyBorder="1" applyAlignment="1" applyProtection="1">
      <alignment horizontal="center" vertical="center"/>
      <protection hidden="1"/>
    </xf>
    <xf numFmtId="183" fontId="127" fillId="27" borderId="112" xfId="0" applyNumberFormat="1" applyFont="1" applyFill="1" applyBorder="1" applyAlignment="1" applyProtection="1">
      <alignment horizontal="center" vertical="center"/>
      <protection hidden="1"/>
    </xf>
    <xf numFmtId="0" fontId="131" fillId="27" borderId="64" xfId="29" applyFont="1" applyFill="1" applyBorder="1" applyAlignment="1" applyProtection="1">
      <alignment horizontal="center" vertical="center"/>
      <protection hidden="1"/>
    </xf>
    <xf numFmtId="0" fontId="34" fillId="27" borderId="10" xfId="0" applyFont="1" applyFill="1" applyBorder="1" applyAlignment="1" applyProtection="1">
      <alignment horizontal="center" vertical="center"/>
      <protection hidden="1"/>
    </xf>
    <xf numFmtId="0" fontId="34" fillId="27" borderId="57" xfId="0" applyFont="1" applyFill="1" applyBorder="1" applyAlignment="1" applyProtection="1">
      <alignment vertical="center"/>
      <protection hidden="1"/>
    </xf>
    <xf numFmtId="183" fontId="30" fillId="0" borderId="92" xfId="0" applyNumberFormat="1" applyFont="1" applyFill="1" applyBorder="1" applyAlignment="1" applyProtection="1">
      <alignment horizontal="center" vertical="center"/>
      <protection hidden="1"/>
    </xf>
    <xf numFmtId="192" fontId="130" fillId="27" borderId="0" xfId="0" applyNumberFormat="1" applyFont="1" applyFill="1" applyBorder="1" applyAlignment="1" applyProtection="1">
      <alignment horizontal="center" vertical="center"/>
      <protection hidden="1"/>
    </xf>
    <xf numFmtId="177" fontId="54" fillId="40" borderId="10" xfId="0" applyNumberFormat="1" applyFont="1" applyFill="1" applyBorder="1" applyAlignment="1" applyProtection="1">
      <alignment horizontal="center" vertical="center"/>
      <protection hidden="1"/>
    </xf>
    <xf numFmtId="0" fontId="131" fillId="27" borderId="56" xfId="29" applyFont="1" applyFill="1" applyBorder="1" applyAlignment="1" applyProtection="1">
      <alignment horizontal="center" vertical="center"/>
      <protection hidden="1"/>
    </xf>
    <xf numFmtId="0" fontId="34" fillId="27" borderId="26" xfId="0" applyFont="1" applyFill="1" applyBorder="1" applyAlignment="1" applyProtection="1">
      <alignment vertical="center"/>
      <protection hidden="1"/>
    </xf>
    <xf numFmtId="183" fontId="30" fillId="0" borderId="115" xfId="0" applyNumberFormat="1" applyFont="1" applyFill="1" applyBorder="1" applyAlignment="1" applyProtection="1">
      <alignment horizontal="center" vertical="center"/>
      <protection hidden="1"/>
    </xf>
    <xf numFmtId="0" fontId="24" fillId="27" borderId="64" xfId="0" applyFont="1" applyFill="1" applyBorder="1" applyAlignment="1" applyProtection="1">
      <alignment vertical="center"/>
      <protection hidden="1"/>
    </xf>
    <xf numFmtId="0" fontId="34" fillId="27" borderId="0" xfId="0" applyFont="1" applyFill="1" applyBorder="1" applyAlignment="1" applyProtection="1">
      <alignment vertical="center"/>
      <protection hidden="1"/>
    </xf>
    <xf numFmtId="0" fontId="34" fillId="27" borderId="63" xfId="0" applyFont="1" applyFill="1" applyBorder="1" applyAlignment="1" applyProtection="1">
      <alignment vertical="center"/>
      <protection hidden="1"/>
    </xf>
    <xf numFmtId="183" fontId="30" fillId="0" borderId="100" xfId="0" applyNumberFormat="1" applyFont="1" applyFill="1" applyBorder="1" applyAlignment="1" applyProtection="1">
      <alignment horizontal="center" vertical="center"/>
      <protection hidden="1"/>
    </xf>
    <xf numFmtId="0" fontId="126" fillId="27" borderId="120" xfId="0" applyFont="1" applyFill="1" applyBorder="1" applyAlignment="1" applyProtection="1">
      <alignment horizontal="center"/>
      <protection hidden="1"/>
    </xf>
    <xf numFmtId="0" fontId="24" fillId="27" borderId="26" xfId="0" applyFont="1" applyFill="1" applyBorder="1" applyAlignment="1" applyProtection="1">
      <alignment vertical="center"/>
      <protection hidden="1"/>
    </xf>
    <xf numFmtId="183" fontId="37" fillId="0" borderId="115" xfId="0" applyNumberFormat="1" applyFont="1" applyFill="1" applyBorder="1" applyAlignment="1" applyProtection="1">
      <alignment horizontal="center" vertical="center"/>
      <protection hidden="1"/>
    </xf>
    <xf numFmtId="0" fontId="126" fillId="27" borderId="50" xfId="0" applyNumberFormat="1" applyFont="1" applyFill="1" applyBorder="1" applyAlignment="1" applyProtection="1">
      <alignment horizontal="left" vertical="center"/>
      <protection hidden="1"/>
    </xf>
    <xf numFmtId="0" fontId="129" fillId="27" borderId="0" xfId="0" applyFont="1" applyFill="1" applyBorder="1" applyAlignment="1" applyProtection="1">
      <alignment vertical="center"/>
      <protection hidden="1"/>
    </xf>
    <xf numFmtId="180" fontId="29" fillId="0" borderId="80" xfId="0" applyNumberFormat="1" applyFont="1" applyFill="1" applyBorder="1" applyAlignment="1" applyProtection="1">
      <alignment horizontal="left" vertical="center" wrapText="1"/>
      <protection locked="0"/>
    </xf>
    <xf numFmtId="183" fontId="37" fillId="27" borderId="93" xfId="0" applyNumberFormat="1" applyFont="1" applyFill="1" applyBorder="1" applyAlignment="1" applyProtection="1">
      <alignment horizontal="center" vertical="center"/>
      <protection hidden="1"/>
    </xf>
    <xf numFmtId="192" fontId="130" fillId="27" borderId="121" xfId="0" applyNumberFormat="1" applyFont="1" applyFill="1" applyBorder="1" applyAlignment="1" applyProtection="1">
      <alignment horizontal="center" vertical="center"/>
      <protection hidden="1"/>
    </xf>
    <xf numFmtId="192" fontId="130" fillId="27" borderId="122" xfId="0" applyNumberFormat="1" applyFont="1" applyFill="1" applyBorder="1" applyAlignment="1" applyProtection="1">
      <alignment horizontal="center" vertical="center"/>
      <protection hidden="1"/>
    </xf>
    <xf numFmtId="183" fontId="127" fillId="27" borderId="123" xfId="0" applyNumberFormat="1" applyFont="1" applyFill="1" applyBorder="1" applyAlignment="1" applyProtection="1">
      <alignment horizontal="center" vertical="center"/>
      <protection hidden="1"/>
    </xf>
    <xf numFmtId="0" fontId="34" fillId="27" borderId="53" xfId="0" applyNumberFormat="1" applyFont="1" applyFill="1" applyBorder="1" applyAlignment="1" applyProtection="1">
      <alignment horizontal="left" vertical="center"/>
      <protection hidden="1"/>
    </xf>
    <xf numFmtId="0" fontId="129" fillId="27" borderId="53" xfId="0" applyFont="1" applyFill="1" applyBorder="1" applyAlignment="1" applyProtection="1">
      <alignment vertical="center"/>
      <protection hidden="1"/>
    </xf>
    <xf numFmtId="0" fontId="129" fillId="27" borderId="90" xfId="0" applyFont="1" applyFill="1" applyBorder="1" applyAlignment="1" applyProtection="1">
      <alignment vertical="center"/>
      <protection hidden="1"/>
    </xf>
    <xf numFmtId="192" fontId="130" fillId="27" borderId="124" xfId="0" applyNumberFormat="1" applyFont="1" applyFill="1" applyBorder="1" applyAlignment="1" applyProtection="1">
      <alignment horizontal="center" vertical="center"/>
      <protection hidden="1"/>
    </xf>
    <xf numFmtId="183" fontId="37" fillId="27" borderId="53" xfId="0" applyNumberFormat="1" applyFont="1" applyFill="1" applyBorder="1" applyAlignment="1" applyProtection="1">
      <alignment horizontal="center" vertical="center"/>
      <protection hidden="1"/>
    </xf>
    <xf numFmtId="192" fontId="130" fillId="27" borderId="125" xfId="0" applyNumberFormat="1" applyFont="1" applyFill="1" applyBorder="1" applyAlignment="1" applyProtection="1">
      <alignment horizontal="center" vertical="center"/>
      <protection hidden="1"/>
    </xf>
    <xf numFmtId="0" fontId="131" fillId="27" borderId="64" xfId="29" applyNumberFormat="1" applyFont="1" applyFill="1" applyBorder="1" applyAlignment="1" applyProtection="1">
      <alignment horizontal="center" vertical="center"/>
      <protection hidden="1"/>
    </xf>
    <xf numFmtId="0" fontId="129" fillId="27" borderId="82" xfId="0" applyFont="1" applyFill="1" applyBorder="1" applyAlignment="1" applyProtection="1">
      <alignment vertical="center"/>
      <protection hidden="1"/>
    </xf>
    <xf numFmtId="0" fontId="129" fillId="27" borderId="50" xfId="0" applyFont="1" applyFill="1" applyBorder="1" applyAlignment="1" applyProtection="1">
      <alignment vertical="center"/>
      <protection hidden="1"/>
    </xf>
    <xf numFmtId="183" fontId="37" fillId="0" borderId="100" xfId="0" applyNumberFormat="1" applyFont="1" applyFill="1" applyBorder="1" applyAlignment="1" applyProtection="1">
      <alignment horizontal="center" vertical="center"/>
      <protection hidden="1"/>
    </xf>
    <xf numFmtId="0" fontId="133" fillId="27" borderId="64" xfId="29" applyFont="1" applyFill="1" applyBorder="1" applyAlignment="1" applyProtection="1">
      <alignment horizontal="center" vertical="center"/>
      <protection hidden="1"/>
    </xf>
    <xf numFmtId="0" fontId="134" fillId="0" borderId="0" xfId="0" applyFont="1" applyFill="1" applyBorder="1" applyAlignment="1" applyProtection="1">
      <alignment horizontal="center" vertical="justify"/>
      <protection hidden="1"/>
    </xf>
    <xf numFmtId="0" fontId="54" fillId="0" borderId="10" xfId="0" applyNumberFormat="1" applyFont="1" applyBorder="1" applyAlignment="1" applyProtection="1">
      <alignment horizontal="center" vertical="center"/>
      <protection hidden="1"/>
    </xf>
    <xf numFmtId="0" fontId="132" fillId="27" borderId="120" xfId="0" applyNumberFormat="1" applyFont="1" applyFill="1" applyBorder="1" applyAlignment="1" applyProtection="1">
      <alignment horizontal="center" vertical="center"/>
      <protection hidden="1"/>
    </xf>
    <xf numFmtId="0" fontId="133" fillId="27" borderId="56" xfId="29" applyFont="1" applyFill="1" applyBorder="1" applyAlignment="1" applyProtection="1">
      <alignment horizontal="center" vertical="center"/>
      <protection hidden="1"/>
    </xf>
    <xf numFmtId="0" fontId="131" fillId="27" borderId="56" xfId="29" applyNumberFormat="1" applyFont="1" applyFill="1" applyBorder="1" applyAlignment="1" applyProtection="1">
      <alignment horizontal="center" vertical="center"/>
      <protection hidden="1"/>
    </xf>
    <xf numFmtId="0" fontId="126" fillId="27" borderId="62" xfId="0" quotePrefix="1" applyNumberFormat="1" applyFont="1" applyFill="1" applyBorder="1" applyAlignment="1" applyProtection="1">
      <alignment horizontal="center" vertical="center"/>
      <protection hidden="1"/>
    </xf>
    <xf numFmtId="183" fontId="37" fillId="27" borderId="97" xfId="0" applyNumberFormat="1" applyFont="1" applyFill="1" applyBorder="1" applyAlignment="1" applyProtection="1">
      <alignment horizontal="center" vertical="center"/>
      <protection hidden="1"/>
    </xf>
    <xf numFmtId="183" fontId="37" fillId="27" borderId="0" xfId="0" applyNumberFormat="1" applyFont="1" applyFill="1" applyBorder="1" applyAlignment="1" applyProtection="1">
      <alignment horizontal="center" vertical="center"/>
      <protection hidden="1"/>
    </xf>
    <xf numFmtId="0" fontId="34" fillId="42" borderId="50" xfId="0" applyFont="1" applyFill="1" applyBorder="1" applyAlignment="1" applyProtection="1">
      <alignment vertical="center"/>
      <protection hidden="1"/>
    </xf>
    <xf numFmtId="0" fontId="126" fillId="27" borderId="62" xfId="0" applyNumberFormat="1" applyFont="1" applyFill="1" applyBorder="1" applyAlignment="1" applyProtection="1">
      <alignment horizontal="center" vertical="center"/>
      <protection hidden="1"/>
    </xf>
    <xf numFmtId="0" fontId="34" fillId="27" borderId="90" xfId="0" applyNumberFormat="1" applyFont="1" applyFill="1" applyBorder="1" applyAlignment="1" applyProtection="1">
      <alignment horizontal="left" vertical="center"/>
      <protection hidden="1"/>
    </xf>
    <xf numFmtId="0" fontId="126" fillId="27" borderId="77" xfId="0" applyNumberFormat="1" applyFont="1" applyFill="1" applyBorder="1" applyAlignment="1" applyProtection="1">
      <alignment horizontal="center" vertical="center"/>
      <protection hidden="1"/>
    </xf>
    <xf numFmtId="0" fontId="129" fillId="27" borderId="79" xfId="0" applyFont="1" applyFill="1" applyBorder="1" applyAlignment="1" applyProtection="1">
      <alignment vertical="center"/>
      <protection hidden="1"/>
    </xf>
    <xf numFmtId="0" fontId="126" fillId="27" borderId="65" xfId="0" quotePrefix="1" applyNumberFormat="1" applyFont="1" applyFill="1" applyBorder="1" applyAlignment="1" applyProtection="1">
      <alignment horizontal="center" vertical="center"/>
      <protection hidden="1"/>
    </xf>
    <xf numFmtId="0" fontId="131" fillId="27" borderId="83" xfId="29" applyFont="1" applyFill="1" applyBorder="1" applyAlignment="1" applyProtection="1">
      <alignment horizontal="center" vertical="center"/>
      <protection hidden="1"/>
    </xf>
    <xf numFmtId="0" fontId="34" fillId="27" borderId="126" xfId="0" applyFont="1" applyFill="1" applyBorder="1" applyAlignment="1" applyProtection="1">
      <alignment vertical="center"/>
      <protection hidden="1"/>
    </xf>
    <xf numFmtId="0" fontId="129" fillId="27" borderId="127" xfId="0" applyFont="1" applyFill="1" applyBorder="1" applyAlignment="1" applyProtection="1">
      <alignment vertical="center"/>
      <protection hidden="1"/>
    </xf>
    <xf numFmtId="183" fontId="127" fillId="27" borderId="115" xfId="0" applyNumberFormat="1" applyFont="1" applyFill="1" applyBorder="1" applyAlignment="1" applyProtection="1">
      <alignment horizontal="center" vertical="center"/>
      <protection hidden="1"/>
    </xf>
    <xf numFmtId="0" fontId="24" fillId="31" borderId="128" xfId="0" applyFont="1" applyFill="1" applyBorder="1" applyAlignment="1" applyProtection="1">
      <alignment vertical="center"/>
      <protection hidden="1"/>
    </xf>
    <xf numFmtId="0" fontId="24" fillId="31" borderId="129" xfId="0" applyFont="1" applyFill="1" applyBorder="1" applyAlignment="1" applyProtection="1">
      <alignment horizontal="left" vertical="center"/>
      <protection hidden="1"/>
    </xf>
    <xf numFmtId="0" fontId="24" fillId="31" borderId="129" xfId="0" applyFont="1" applyFill="1" applyBorder="1" applyAlignment="1" applyProtection="1">
      <alignment horizontal="left"/>
      <protection hidden="1"/>
    </xf>
    <xf numFmtId="0" fontId="7" fillId="31" borderId="130" xfId="0" applyFont="1" applyFill="1" applyBorder="1" applyAlignment="1" applyProtection="1">
      <alignment vertical="center"/>
      <protection hidden="1"/>
    </xf>
    <xf numFmtId="180" fontId="38" fillId="31" borderId="128" xfId="0" applyNumberFormat="1" applyFont="1" applyFill="1" applyBorder="1" applyAlignment="1" applyProtection="1">
      <alignment horizontal="left" vertical="center"/>
      <protection hidden="1"/>
    </xf>
    <xf numFmtId="180" fontId="38" fillId="31" borderId="129" xfId="0" applyNumberFormat="1" applyFont="1" applyFill="1" applyBorder="1" applyAlignment="1" applyProtection="1">
      <alignment horizontal="left" vertical="center"/>
      <protection hidden="1"/>
    </xf>
    <xf numFmtId="180" fontId="38" fillId="31" borderId="129" xfId="0" applyNumberFormat="1" applyFont="1" applyFill="1" applyBorder="1" applyAlignment="1" applyProtection="1">
      <alignment horizontal="left"/>
      <protection hidden="1"/>
    </xf>
    <xf numFmtId="180" fontId="38" fillId="31" borderId="131" xfId="0" applyNumberFormat="1" applyFont="1" applyFill="1" applyBorder="1" applyAlignment="1" applyProtection="1">
      <alignment horizontal="center"/>
      <protection hidden="1"/>
    </xf>
    <xf numFmtId="192" fontId="127" fillId="31" borderId="132" xfId="0" applyNumberFormat="1" applyFont="1" applyFill="1" applyBorder="1" applyAlignment="1" applyProtection="1">
      <alignment horizontal="center" vertical="center"/>
      <protection hidden="1"/>
    </xf>
    <xf numFmtId="183" fontId="128" fillId="31" borderId="129" xfId="0" applyNumberFormat="1" applyFont="1" applyFill="1" applyBorder="1" applyAlignment="1" applyProtection="1">
      <alignment horizontal="center" vertical="center"/>
      <protection hidden="1"/>
    </xf>
    <xf numFmtId="192" fontId="127" fillId="31" borderId="133" xfId="0" applyNumberFormat="1" applyFont="1" applyFill="1" applyBorder="1" applyAlignment="1" applyProtection="1">
      <alignment horizontal="center" vertical="center"/>
      <protection hidden="1"/>
    </xf>
    <xf numFmtId="183" fontId="128" fillId="31" borderId="134" xfId="0" applyNumberFormat="1" applyFont="1" applyFill="1" applyBorder="1" applyAlignment="1" applyProtection="1">
      <alignment horizontal="center" vertical="center"/>
      <protection hidden="1"/>
    </xf>
    <xf numFmtId="0" fontId="126" fillId="27" borderId="109" xfId="0" applyFont="1" applyFill="1" applyBorder="1" applyAlignment="1" applyProtection="1">
      <alignment horizontal="left" vertical="center"/>
      <protection hidden="1"/>
    </xf>
    <xf numFmtId="0" fontId="126" fillId="27" borderId="0" xfId="0" applyFont="1" applyFill="1" applyBorder="1" applyAlignment="1" applyProtection="1">
      <alignment horizontal="left" vertical="center"/>
      <protection hidden="1"/>
    </xf>
    <xf numFmtId="192" fontId="130" fillId="27" borderId="94" xfId="0" applyNumberFormat="1" applyFont="1" applyFill="1" applyBorder="1" applyAlignment="1" applyProtection="1">
      <alignment horizontal="center" vertical="center"/>
      <protection hidden="1"/>
    </xf>
    <xf numFmtId="192" fontId="130" fillId="27" borderId="95" xfId="0" applyNumberFormat="1" applyFont="1" applyFill="1" applyBorder="1" applyAlignment="1" applyProtection="1">
      <alignment horizontal="center" vertical="center"/>
      <protection hidden="1"/>
    </xf>
    <xf numFmtId="183" fontId="127" fillId="27" borderId="96" xfId="0" applyNumberFormat="1" applyFont="1" applyFill="1" applyBorder="1" applyAlignment="1" applyProtection="1">
      <alignment horizontal="center" vertical="center"/>
      <protection hidden="1"/>
    </xf>
    <xf numFmtId="0" fontId="126" fillId="27" borderId="118" xfId="0" quotePrefix="1" applyNumberFormat="1" applyFont="1" applyFill="1" applyBorder="1" applyAlignment="1" applyProtection="1">
      <alignment horizontal="center" vertical="center"/>
      <protection hidden="1"/>
    </xf>
    <xf numFmtId="177" fontId="30" fillId="0" borderId="100" xfId="0" applyNumberFormat="1" applyFont="1" applyFill="1" applyBorder="1" applyAlignment="1" applyProtection="1">
      <alignment horizontal="center" vertical="center"/>
      <protection hidden="1"/>
    </xf>
    <xf numFmtId="0" fontId="24" fillId="27" borderId="89" xfId="0" quotePrefix="1" applyFont="1" applyFill="1" applyBorder="1" applyAlignment="1" applyProtection="1">
      <alignment vertical="center"/>
      <protection hidden="1"/>
    </xf>
    <xf numFmtId="177" fontId="30" fillId="0" borderId="66" xfId="0" applyNumberFormat="1" applyFont="1" applyFill="1" applyBorder="1" applyAlignment="1" applyProtection="1">
      <alignment horizontal="center" vertical="center"/>
      <protection hidden="1"/>
    </xf>
    <xf numFmtId="192" fontId="130" fillId="27" borderId="17" xfId="0" applyNumberFormat="1" applyFont="1" applyFill="1" applyBorder="1" applyAlignment="1" applyProtection="1">
      <alignment horizontal="center" vertical="center"/>
      <protection hidden="1"/>
    </xf>
    <xf numFmtId="183" fontId="30" fillId="0" borderId="0" xfId="0" applyNumberFormat="1" applyFont="1" applyFill="1" applyBorder="1" applyAlignment="1" applyProtection="1">
      <alignment horizontal="center" vertical="center"/>
      <protection hidden="1"/>
    </xf>
    <xf numFmtId="177" fontId="30" fillId="0" borderId="60" xfId="0" applyNumberFormat="1" applyFont="1" applyFill="1" applyBorder="1" applyAlignment="1" applyProtection="1">
      <alignment horizontal="center" vertical="center"/>
      <protection hidden="1"/>
    </xf>
    <xf numFmtId="0" fontId="126" fillId="27" borderId="77" xfId="0" quotePrefix="1" applyNumberFormat="1" applyFont="1" applyFill="1" applyBorder="1" applyAlignment="1" applyProtection="1">
      <alignment horizontal="center" vertical="center"/>
      <protection hidden="1"/>
    </xf>
    <xf numFmtId="192" fontId="130" fillId="27" borderId="58" xfId="0" applyNumberFormat="1" applyFont="1" applyFill="1" applyBorder="1" applyAlignment="1" applyProtection="1">
      <alignment horizontal="center" vertical="center"/>
      <protection hidden="1"/>
    </xf>
    <xf numFmtId="177" fontId="30" fillId="0" borderId="62" xfId="0" applyNumberFormat="1" applyFont="1" applyFill="1" applyBorder="1" applyAlignment="1" applyProtection="1">
      <alignment horizontal="center" vertical="center"/>
      <protection hidden="1"/>
    </xf>
    <xf numFmtId="0" fontId="126" fillId="27" borderId="77" xfId="0" applyFont="1" applyFill="1" applyBorder="1" applyAlignment="1" applyProtection="1">
      <alignment horizontal="center"/>
      <protection hidden="1"/>
    </xf>
    <xf numFmtId="192" fontId="130" fillId="27" borderId="120" xfId="0" applyNumberFormat="1" applyFont="1" applyFill="1" applyBorder="1" applyAlignment="1" applyProtection="1">
      <alignment horizontal="center" vertical="center"/>
      <protection hidden="1"/>
    </xf>
    <xf numFmtId="0" fontId="136" fillId="27" borderId="0" xfId="29" applyNumberFormat="1" applyFont="1" applyFill="1" applyBorder="1" applyAlignment="1" applyProtection="1">
      <alignment horizontal="center" vertical="center"/>
      <protection hidden="1"/>
    </xf>
    <xf numFmtId="0" fontId="137" fillId="27" borderId="0" xfId="0" applyNumberFormat="1" applyFont="1" applyFill="1" applyBorder="1" applyAlignment="1" applyProtection="1">
      <alignment horizontal="left" vertical="center"/>
      <protection hidden="1"/>
    </xf>
    <xf numFmtId="0" fontId="137" fillId="27" borderId="0" xfId="0" applyFont="1" applyFill="1" applyBorder="1" applyAlignment="1" applyProtection="1">
      <alignment horizontal="center" vertical="center"/>
      <protection hidden="1"/>
    </xf>
    <xf numFmtId="183" fontId="30" fillId="0" borderId="97" xfId="0" applyNumberFormat="1" applyFont="1" applyFill="1" applyBorder="1" applyAlignment="1" applyProtection="1">
      <alignment horizontal="center" vertical="center"/>
      <protection hidden="1"/>
    </xf>
    <xf numFmtId="0" fontId="126" fillId="27" borderId="53" xfId="0" applyNumberFormat="1" applyFont="1" applyFill="1" applyBorder="1" applyAlignment="1" applyProtection="1">
      <alignment horizontal="left" vertical="center"/>
      <protection hidden="1"/>
    </xf>
    <xf numFmtId="183" fontId="37" fillId="27" borderId="135" xfId="0" applyNumberFormat="1" applyFont="1" applyFill="1" applyBorder="1" applyAlignment="1" applyProtection="1">
      <alignment horizontal="center" vertical="center"/>
      <protection hidden="1"/>
    </xf>
    <xf numFmtId="177" fontId="30" fillId="0" borderId="0" xfId="0" applyNumberFormat="1" applyFont="1" applyFill="1" applyBorder="1" applyAlignment="1" applyProtection="1">
      <alignment horizontal="center" vertical="center"/>
      <protection hidden="1"/>
    </xf>
    <xf numFmtId="0" fontId="34" fillId="27" borderId="51" xfId="0" applyFont="1" applyFill="1" applyBorder="1" applyAlignment="1" applyProtection="1">
      <alignment horizontal="center" vertical="center"/>
      <protection hidden="1"/>
    </xf>
    <xf numFmtId="0" fontId="34" fillId="27" borderId="50" xfId="0" applyNumberFormat="1" applyFont="1" applyFill="1" applyBorder="1" applyAlignment="1" applyProtection="1">
      <alignment horizontal="left" vertical="center"/>
      <protection hidden="1"/>
    </xf>
    <xf numFmtId="0" fontId="131" fillId="27" borderId="83" xfId="29" applyNumberFormat="1" applyFont="1" applyFill="1" applyBorder="1" applyAlignment="1" applyProtection="1">
      <alignment horizontal="center" vertical="center"/>
      <protection hidden="1"/>
    </xf>
    <xf numFmtId="0" fontId="34" fillId="27" borderId="136" xfId="0" applyFont="1" applyFill="1" applyBorder="1" applyAlignment="1" applyProtection="1">
      <alignment horizontal="center" vertical="center"/>
      <protection hidden="1"/>
    </xf>
    <xf numFmtId="192" fontId="130" fillId="27" borderId="84" xfId="0" applyNumberFormat="1" applyFont="1" applyFill="1" applyBorder="1" applyAlignment="1" applyProtection="1">
      <alignment horizontal="center" vertical="center"/>
      <protection hidden="1"/>
    </xf>
    <xf numFmtId="192" fontId="130" fillId="27" borderId="137" xfId="0" applyNumberFormat="1" applyFont="1" applyFill="1" applyBorder="1" applyAlignment="1" applyProtection="1">
      <alignment horizontal="center" vertical="center"/>
      <protection hidden="1"/>
    </xf>
    <xf numFmtId="0" fontId="24" fillId="31" borderId="129" xfId="0" applyNumberFormat="1" applyFont="1" applyFill="1" applyBorder="1" applyAlignment="1" applyProtection="1">
      <alignment horizontal="left" vertical="center"/>
      <protection hidden="1"/>
    </xf>
    <xf numFmtId="0" fontId="34" fillId="31" borderId="130" xfId="0" applyNumberFormat="1" applyFont="1" applyFill="1" applyBorder="1" applyAlignment="1" applyProtection="1">
      <alignment horizontal="left" vertical="center"/>
      <protection hidden="1"/>
    </xf>
    <xf numFmtId="180" fontId="38" fillId="31" borderId="138" xfId="0" applyNumberFormat="1" applyFont="1" applyFill="1" applyBorder="1" applyAlignment="1" applyProtection="1">
      <alignment horizontal="center"/>
      <protection hidden="1"/>
    </xf>
    <xf numFmtId="183" fontId="37" fillId="0" borderId="92" xfId="0" applyNumberFormat="1" applyFont="1" applyFill="1" applyBorder="1" applyAlignment="1" applyProtection="1">
      <alignment horizontal="center" vertical="center"/>
      <protection hidden="1"/>
    </xf>
    <xf numFmtId="0" fontId="24" fillId="27" borderId="80" xfId="0" quotePrefix="1" applyFont="1" applyFill="1" applyBorder="1" applyAlignment="1" applyProtection="1">
      <alignment vertical="center"/>
      <protection hidden="1"/>
    </xf>
    <xf numFmtId="0" fontId="126" fillId="27" borderId="50" xfId="0" applyFont="1" applyFill="1" applyBorder="1" applyAlignment="1" applyProtection="1">
      <alignment horizontal="left" vertical="center"/>
      <protection hidden="1"/>
    </xf>
    <xf numFmtId="192" fontId="130" fillId="27" borderId="27" xfId="0" applyNumberFormat="1" applyFont="1" applyFill="1" applyBorder="1" applyAlignment="1" applyProtection="1">
      <alignment horizontal="center" vertical="center"/>
      <protection hidden="1"/>
    </xf>
    <xf numFmtId="0" fontId="126" fillId="27" borderId="57" xfId="0" applyNumberFormat="1" applyFont="1" applyFill="1" applyBorder="1" applyAlignment="1" applyProtection="1">
      <alignment horizontal="left" vertical="center"/>
      <protection hidden="1"/>
    </xf>
    <xf numFmtId="0" fontId="24" fillId="27" borderId="64" xfId="0" applyFont="1" applyFill="1" applyBorder="1" applyProtection="1">
      <alignment vertical="center"/>
      <protection hidden="1"/>
    </xf>
    <xf numFmtId="0" fontId="34" fillId="27" borderId="57" xfId="0" applyNumberFormat="1" applyFont="1" applyFill="1" applyBorder="1" applyAlignment="1" applyProtection="1">
      <alignment horizontal="left" vertical="center"/>
      <protection hidden="1"/>
    </xf>
    <xf numFmtId="0" fontId="34" fillId="27" borderId="57" xfId="0" applyFont="1" applyFill="1" applyBorder="1" applyProtection="1">
      <alignment vertical="center"/>
      <protection hidden="1"/>
    </xf>
    <xf numFmtId="0" fontId="24" fillId="27" borderId="26" xfId="0" applyFont="1" applyFill="1" applyBorder="1" applyProtection="1">
      <alignment vertical="center"/>
      <protection hidden="1"/>
    </xf>
    <xf numFmtId="0" fontId="34" fillId="27" borderId="50" xfId="0" applyFont="1" applyFill="1" applyBorder="1" applyProtection="1">
      <alignment vertical="center"/>
      <protection hidden="1"/>
    </xf>
    <xf numFmtId="192" fontId="130" fillId="27" borderId="140" xfId="0" applyNumberFormat="1" applyFont="1" applyFill="1" applyBorder="1" applyAlignment="1" applyProtection="1">
      <alignment horizontal="center" vertical="center"/>
      <protection hidden="1"/>
    </xf>
    <xf numFmtId="0" fontId="138" fillId="0" borderId="62" xfId="0" quotePrefix="1" applyNumberFormat="1" applyFont="1" applyFill="1" applyBorder="1" applyAlignment="1" applyProtection="1">
      <alignment horizontal="left" vertical="center"/>
      <protection hidden="1"/>
    </xf>
    <xf numFmtId="0" fontId="139" fillId="0" borderId="0" xfId="0" applyFont="1" applyFill="1" applyBorder="1" applyAlignment="1" applyProtection="1">
      <alignment horizontal="left"/>
      <protection hidden="1"/>
    </xf>
    <xf numFmtId="0" fontId="140"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141" fillId="0" borderId="0" xfId="0" applyFont="1" applyFill="1" applyBorder="1" applyAlignment="1" applyProtection="1">
      <alignment vertical="center"/>
      <protection hidden="1"/>
    </xf>
    <xf numFmtId="192" fontId="127" fillId="27" borderId="98" xfId="0" applyNumberFormat="1" applyFont="1" applyFill="1" applyBorder="1" applyAlignment="1" applyProtection="1">
      <alignment horizontal="center" vertical="center"/>
      <protection hidden="1"/>
    </xf>
    <xf numFmtId="192" fontId="127" fillId="27" borderId="99" xfId="0" applyNumberFormat="1" applyFont="1" applyFill="1" applyBorder="1" applyAlignment="1" applyProtection="1">
      <alignment horizontal="center" vertical="center"/>
      <protection hidden="1"/>
    </xf>
    <xf numFmtId="0" fontId="64" fillId="33" borderId="59" xfId="0" applyNumberFormat="1" applyFont="1" applyFill="1" applyBorder="1" applyAlignment="1" applyProtection="1">
      <alignment horizontal="left" vertical="center"/>
      <protection hidden="1"/>
    </xf>
    <xf numFmtId="0" fontId="64" fillId="33" borderId="60" xfId="0" applyNumberFormat="1" applyFont="1" applyFill="1" applyBorder="1" applyAlignment="1" applyProtection="1">
      <alignment horizontal="left" vertical="center"/>
      <protection hidden="1"/>
    </xf>
    <xf numFmtId="0" fontId="64" fillId="33" borderId="61" xfId="0" applyNumberFormat="1" applyFont="1" applyFill="1" applyBorder="1" applyAlignment="1" applyProtection="1">
      <alignment horizontal="left" vertical="center"/>
      <protection hidden="1"/>
    </xf>
    <xf numFmtId="180" fontId="38" fillId="33" borderId="59" xfId="0" applyNumberFormat="1" applyFont="1" applyFill="1" applyBorder="1" applyAlignment="1" applyProtection="1">
      <alignment horizontal="left" vertical="center"/>
      <protection hidden="1"/>
    </xf>
    <xf numFmtId="180" fontId="38" fillId="33" borderId="60" xfId="0" applyNumberFormat="1" applyFont="1" applyFill="1" applyBorder="1" applyAlignment="1" applyProtection="1">
      <alignment horizontal="left" vertical="center"/>
      <protection hidden="1"/>
    </xf>
    <xf numFmtId="180" fontId="38" fillId="33" borderId="60" xfId="0" applyNumberFormat="1" applyFont="1" applyFill="1" applyBorder="1" applyAlignment="1" applyProtection="1">
      <alignment horizontal="left"/>
      <protection hidden="1"/>
    </xf>
    <xf numFmtId="180" fontId="38" fillId="33" borderId="138" xfId="0" applyNumberFormat="1" applyFont="1" applyFill="1" applyBorder="1" applyAlignment="1" applyProtection="1">
      <alignment horizontal="center"/>
      <protection hidden="1"/>
    </xf>
    <xf numFmtId="192" fontId="130" fillId="33" borderId="141" xfId="0" applyNumberFormat="1" applyFont="1" applyFill="1" applyBorder="1" applyAlignment="1" applyProtection="1">
      <alignment horizontal="center" vertical="center"/>
      <protection hidden="1"/>
    </xf>
    <xf numFmtId="183" fontId="30" fillId="33" borderId="60" xfId="0" applyNumberFormat="1" applyFont="1" applyFill="1" applyBorder="1" applyAlignment="1" applyProtection="1">
      <alignment horizontal="center" vertical="center"/>
      <protection hidden="1"/>
    </xf>
    <xf numFmtId="192" fontId="130" fillId="33" borderId="142" xfId="0" applyNumberFormat="1" applyFont="1" applyFill="1" applyBorder="1" applyAlignment="1" applyProtection="1">
      <alignment horizontal="center" vertical="center"/>
      <protection hidden="1"/>
    </xf>
    <xf numFmtId="183" fontId="65" fillId="33" borderId="92" xfId="0" applyNumberFormat="1" applyFont="1" applyFill="1" applyBorder="1" applyAlignment="1" applyProtection="1">
      <alignment horizontal="center" vertical="center"/>
      <protection hidden="1"/>
    </xf>
    <xf numFmtId="0" fontId="24" fillId="31" borderId="104" xfId="0" applyFont="1" applyFill="1" applyBorder="1" applyAlignment="1" applyProtection="1">
      <alignment vertical="center"/>
      <protection hidden="1"/>
    </xf>
    <xf numFmtId="0" fontId="126" fillId="31" borderId="103" xfId="0" applyNumberFormat="1" applyFont="1" applyFill="1" applyBorder="1" applyAlignment="1" applyProtection="1">
      <alignment horizontal="right" vertical="center"/>
      <protection hidden="1"/>
    </xf>
    <xf numFmtId="180" fontId="38" fillId="31" borderId="143" xfId="0" applyNumberFormat="1" applyFont="1" applyFill="1" applyBorder="1" applyAlignment="1" applyProtection="1">
      <alignment horizontal="center"/>
      <protection hidden="1"/>
    </xf>
    <xf numFmtId="0" fontId="126" fillId="27" borderId="63" xfId="0" applyFont="1" applyFill="1" applyBorder="1" applyAlignment="1" applyProtection="1">
      <alignment horizontal="right" vertical="center"/>
      <protection hidden="1"/>
    </xf>
    <xf numFmtId="183" fontId="37" fillId="0" borderId="144" xfId="0" applyNumberFormat="1" applyFont="1" applyFill="1" applyBorder="1" applyAlignment="1" applyProtection="1">
      <alignment horizontal="center" vertical="center"/>
      <protection hidden="1"/>
    </xf>
    <xf numFmtId="0" fontId="24" fillId="27" borderId="89" xfId="0" applyFont="1" applyFill="1" applyBorder="1" applyAlignment="1" applyProtection="1">
      <alignment vertical="center"/>
      <protection hidden="1"/>
    </xf>
    <xf numFmtId="0" fontId="126" fillId="27" borderId="82" xfId="0" applyFont="1" applyFill="1" applyBorder="1" applyAlignment="1" applyProtection="1">
      <alignment horizontal="right" vertical="center"/>
      <protection hidden="1"/>
    </xf>
    <xf numFmtId="0" fontId="24" fillId="27" borderId="62" xfId="0" applyFont="1" applyFill="1" applyBorder="1" applyAlignment="1" applyProtection="1">
      <alignment vertical="center"/>
      <protection hidden="1"/>
    </xf>
    <xf numFmtId="192" fontId="130" fillId="27" borderId="54" xfId="0" applyNumberFormat="1" applyFont="1" applyFill="1" applyBorder="1" applyAlignment="1" applyProtection="1">
      <alignment horizontal="center" vertical="center"/>
      <protection hidden="1"/>
    </xf>
    <xf numFmtId="0" fontId="24" fillId="27" borderId="26" xfId="0" applyNumberFormat="1" applyFont="1" applyFill="1" applyBorder="1" applyAlignment="1" applyProtection="1">
      <alignment horizontal="right" vertical="center"/>
      <protection hidden="1"/>
    </xf>
    <xf numFmtId="192" fontId="130" fillId="27" borderId="118" xfId="0" applyNumberFormat="1" applyFont="1" applyFill="1" applyBorder="1" applyAlignment="1" applyProtection="1">
      <alignment horizontal="center" vertical="center"/>
      <protection hidden="1"/>
    </xf>
    <xf numFmtId="0" fontId="24" fillId="27" borderId="120" xfId="0" applyFont="1" applyFill="1" applyBorder="1" applyAlignment="1" applyProtection="1">
      <alignment vertical="center"/>
      <protection hidden="1"/>
    </xf>
    <xf numFmtId="0" fontId="24" fillId="27" borderId="145" xfId="0" quotePrefix="1" applyFont="1" applyFill="1" applyBorder="1" applyAlignment="1" applyProtection="1">
      <alignment vertical="center"/>
      <protection hidden="1"/>
    </xf>
    <xf numFmtId="0" fontId="24" fillId="27" borderId="64" xfId="0" quotePrefix="1" applyFont="1" applyFill="1" applyBorder="1" applyAlignment="1" applyProtection="1">
      <alignment vertical="center"/>
      <protection hidden="1"/>
    </xf>
    <xf numFmtId="177" fontId="30" fillId="0" borderId="69" xfId="0" applyNumberFormat="1" applyFont="1" applyFill="1" applyBorder="1" applyAlignment="1" applyProtection="1">
      <alignment horizontal="center" vertical="center"/>
      <protection hidden="1"/>
    </xf>
    <xf numFmtId="0" fontId="131" fillId="27" borderId="64" xfId="29" quotePrefix="1" applyNumberFormat="1" applyFont="1" applyFill="1" applyBorder="1" applyAlignment="1" applyProtection="1">
      <alignment horizontal="center" vertical="center"/>
      <protection hidden="1"/>
    </xf>
    <xf numFmtId="0" fontId="131" fillId="27" borderId="56" xfId="29" quotePrefix="1" applyNumberFormat="1" applyFont="1" applyFill="1" applyBorder="1" applyAlignment="1" applyProtection="1">
      <alignment horizontal="center" vertical="center"/>
      <protection hidden="1"/>
    </xf>
    <xf numFmtId="201" fontId="30" fillId="0" borderId="100" xfId="0" applyNumberFormat="1" applyFont="1" applyFill="1" applyBorder="1" applyAlignment="1" applyProtection="1">
      <alignment horizontal="center" vertical="center"/>
      <protection hidden="1"/>
    </xf>
    <xf numFmtId="201" fontId="30" fillId="0" borderId="100" xfId="0" applyNumberFormat="1" applyFont="1" applyFill="1" applyBorder="1" applyAlignment="1" applyProtection="1">
      <alignment horizontal="center" vertical="justify"/>
      <protection hidden="1"/>
    </xf>
    <xf numFmtId="201" fontId="30" fillId="0" borderId="115" xfId="0" applyNumberFormat="1" applyFont="1" applyFill="1" applyBorder="1" applyAlignment="1" applyProtection="1">
      <alignment horizontal="center" vertical="justify"/>
      <protection hidden="1"/>
    </xf>
    <xf numFmtId="201" fontId="30" fillId="0" borderId="0" xfId="0" applyNumberFormat="1" applyFont="1" applyFill="1" applyBorder="1" applyAlignment="1" applyProtection="1">
      <alignment horizontal="center" vertical="center"/>
      <protection hidden="1"/>
    </xf>
    <xf numFmtId="201" fontId="30" fillId="0" borderId="144" xfId="0" applyNumberFormat="1" applyFont="1" applyFill="1" applyBorder="1" applyAlignment="1" applyProtection="1">
      <alignment horizontal="center" vertical="justify"/>
      <protection hidden="1"/>
    </xf>
    <xf numFmtId="201" fontId="30" fillId="0" borderId="66" xfId="0" applyNumberFormat="1" applyFont="1" applyFill="1" applyBorder="1" applyAlignment="1" applyProtection="1">
      <alignment horizontal="center" vertical="center"/>
      <protection hidden="1"/>
    </xf>
    <xf numFmtId="0" fontId="126" fillId="27" borderId="116" xfId="0" applyNumberFormat="1" applyFont="1" applyFill="1" applyBorder="1" applyAlignment="1" applyProtection="1">
      <alignment horizontal="center" vertical="center"/>
      <protection hidden="1"/>
    </xf>
    <xf numFmtId="180" fontId="38" fillId="31" borderId="146" xfId="0" applyNumberFormat="1" applyFont="1" applyFill="1" applyBorder="1" applyAlignment="1" applyProtection="1">
      <alignment horizontal="center"/>
      <protection hidden="1"/>
    </xf>
    <xf numFmtId="0" fontId="24" fillId="27" borderId="62" xfId="0" quotePrefix="1" applyFont="1" applyFill="1" applyBorder="1" applyProtection="1">
      <alignment vertical="center"/>
      <protection hidden="1"/>
    </xf>
    <xf numFmtId="0" fontId="24" fillId="27" borderId="89" xfId="0" quotePrefix="1" applyFont="1" applyFill="1" applyBorder="1" applyProtection="1">
      <alignment vertical="center"/>
      <protection hidden="1"/>
    </xf>
    <xf numFmtId="183" fontId="37" fillId="27" borderId="147" xfId="0" applyNumberFormat="1" applyFont="1" applyFill="1" applyBorder="1" applyAlignment="1" applyProtection="1">
      <alignment horizontal="center" vertical="center"/>
      <protection hidden="1"/>
    </xf>
    <xf numFmtId="192" fontId="130" fillId="27" borderId="26" xfId="0" applyNumberFormat="1" applyFont="1" applyFill="1" applyBorder="1" applyAlignment="1" applyProtection="1">
      <alignment horizontal="center" vertical="center"/>
      <protection hidden="1"/>
    </xf>
    <xf numFmtId="192" fontId="130" fillId="27" borderId="50" xfId="0" applyNumberFormat="1" applyFont="1" applyFill="1" applyBorder="1" applyAlignment="1" applyProtection="1">
      <alignment horizontal="center" vertical="center"/>
      <protection hidden="1"/>
    </xf>
    <xf numFmtId="201" fontId="30" fillId="0" borderId="69" xfId="0" applyNumberFormat="1" applyFont="1" applyFill="1" applyBorder="1" applyAlignment="1" applyProtection="1">
      <alignment horizontal="center" vertical="center"/>
      <protection hidden="1"/>
    </xf>
    <xf numFmtId="0" fontId="34" fillId="27" borderId="0" xfId="0" applyNumberFormat="1" applyFont="1" applyFill="1" applyBorder="1" applyAlignment="1" applyProtection="1">
      <alignment horizontal="left" vertical="center"/>
      <protection hidden="1"/>
    </xf>
    <xf numFmtId="192" fontId="130" fillId="27" borderId="64" xfId="0" applyNumberFormat="1" applyFont="1" applyFill="1" applyBorder="1" applyAlignment="1" applyProtection="1">
      <alignment horizontal="center" vertical="center"/>
      <protection hidden="1"/>
    </xf>
    <xf numFmtId="192" fontId="130" fillId="27" borderId="57" xfId="0" applyNumberFormat="1" applyFont="1" applyFill="1" applyBorder="1" applyAlignment="1" applyProtection="1">
      <alignment horizontal="center" vertical="center"/>
      <protection hidden="1"/>
    </xf>
    <xf numFmtId="0" fontId="24" fillId="27" borderId="89" xfId="0" applyFont="1" applyFill="1" applyBorder="1" applyProtection="1">
      <alignment vertical="center"/>
      <protection hidden="1"/>
    </xf>
    <xf numFmtId="0" fontId="24" fillId="27" borderId="62" xfId="0" applyFont="1" applyFill="1" applyBorder="1" applyProtection="1">
      <alignment vertical="center"/>
      <protection hidden="1"/>
    </xf>
    <xf numFmtId="183" fontId="37" fillId="27" borderId="148" xfId="0" applyNumberFormat="1" applyFont="1" applyFill="1" applyBorder="1" applyAlignment="1" applyProtection="1">
      <alignment horizontal="center" vertical="center"/>
      <protection hidden="1"/>
    </xf>
    <xf numFmtId="0" fontId="143" fillId="27" borderId="62" xfId="0" applyFont="1" applyFill="1" applyBorder="1" applyAlignment="1" applyProtection="1">
      <alignment horizontal="center"/>
      <protection hidden="1"/>
    </xf>
    <xf numFmtId="183" fontId="30" fillId="0" borderId="61" xfId="0" applyNumberFormat="1" applyFont="1" applyFill="1" applyBorder="1" applyAlignment="1" applyProtection="1">
      <alignment horizontal="center" vertical="center"/>
      <protection hidden="1"/>
    </xf>
    <xf numFmtId="183" fontId="30" fillId="0" borderId="63" xfId="0" applyNumberFormat="1" applyFont="1" applyFill="1" applyBorder="1" applyAlignment="1" applyProtection="1">
      <alignment horizontal="center" vertical="center"/>
      <protection hidden="1"/>
    </xf>
    <xf numFmtId="183" fontId="30" fillId="0" borderId="67" xfId="0" applyNumberFormat="1" applyFont="1" applyFill="1" applyBorder="1" applyAlignment="1" applyProtection="1">
      <alignment horizontal="center" vertical="center"/>
      <protection hidden="1"/>
    </xf>
    <xf numFmtId="183" fontId="37" fillId="27" borderId="149" xfId="0" applyNumberFormat="1" applyFont="1" applyFill="1" applyBorder="1" applyAlignment="1" applyProtection="1">
      <alignment horizontal="center" vertical="center"/>
      <protection hidden="1"/>
    </xf>
    <xf numFmtId="0" fontId="34" fillId="27" borderId="26" xfId="0" applyNumberFormat="1" applyFont="1" applyFill="1" applyBorder="1" applyAlignment="1" applyProtection="1">
      <alignment horizontal="left" vertical="center" shrinkToFit="1"/>
      <protection hidden="1"/>
    </xf>
    <xf numFmtId="0" fontId="64" fillId="37" borderId="59" xfId="0" applyNumberFormat="1" applyFont="1" applyFill="1" applyBorder="1" applyAlignment="1" applyProtection="1">
      <alignment vertical="center"/>
    </xf>
    <xf numFmtId="0" fontId="117" fillId="37" borderId="60" xfId="0" applyFont="1" applyFill="1" applyBorder="1" applyAlignment="1" applyProtection="1">
      <alignment horizontal="left" vertical="center"/>
    </xf>
    <xf numFmtId="0" fontId="117" fillId="37" borderId="60" xfId="0" applyFont="1" applyFill="1" applyBorder="1" applyAlignment="1" applyProtection="1">
      <alignment vertical="center"/>
    </xf>
    <xf numFmtId="0" fontId="118" fillId="37" borderId="61" xfId="0" applyFont="1" applyFill="1" applyBorder="1" applyAlignment="1" applyProtection="1">
      <alignment vertical="center"/>
    </xf>
    <xf numFmtId="0" fontId="34" fillId="0" borderId="0" xfId="0" applyFont="1">
      <alignment vertical="center"/>
    </xf>
    <xf numFmtId="0" fontId="97" fillId="0" borderId="65" xfId="0" applyNumberFormat="1" applyFont="1" applyFill="1" applyBorder="1" applyAlignment="1" applyProtection="1">
      <alignment vertical="center"/>
    </xf>
    <xf numFmtId="0" fontId="86" fillId="0" borderId="66" xfId="0" applyFont="1" applyFill="1" applyBorder="1" applyAlignment="1" applyProtection="1">
      <alignment horizontal="left" vertical="center"/>
    </xf>
    <xf numFmtId="0" fontId="119" fillId="0" borderId="66" xfId="0" applyFont="1" applyFill="1" applyBorder="1" applyAlignment="1" applyProtection="1">
      <alignment vertical="center"/>
    </xf>
    <xf numFmtId="0" fontId="120" fillId="0" borderId="67" xfId="0" applyFont="1" applyFill="1" applyBorder="1" applyAlignment="1" applyProtection="1">
      <alignment vertical="center"/>
    </xf>
    <xf numFmtId="184" fontId="29" fillId="0" borderId="0" xfId="0" applyNumberFormat="1" applyFont="1" applyFill="1" applyBorder="1" applyProtection="1">
      <alignment vertical="center"/>
    </xf>
    <xf numFmtId="0" fontId="64" fillId="30" borderId="59" xfId="0" applyFont="1" applyFill="1" applyBorder="1" applyAlignment="1" applyProtection="1">
      <alignment vertical="center"/>
    </xf>
    <xf numFmtId="0" fontId="33" fillId="30" borderId="60" xfId="44" applyFont="1" applyFill="1" applyBorder="1" applyAlignment="1" applyProtection="1">
      <alignment vertical="center"/>
    </xf>
    <xf numFmtId="0" fontId="33" fillId="30" borderId="60" xfId="44" applyFont="1" applyFill="1" applyBorder="1" applyAlignment="1" applyProtection="1">
      <alignment horizontal="left" vertical="center"/>
    </xf>
    <xf numFmtId="0" fontId="33" fillId="30" borderId="60" xfId="44" applyNumberFormat="1" applyFont="1" applyFill="1" applyBorder="1" applyAlignment="1" applyProtection="1">
      <alignment vertical="center"/>
    </xf>
    <xf numFmtId="0" fontId="3" fillId="30" borderId="60" xfId="44" applyNumberFormat="1" applyFont="1" applyFill="1" applyBorder="1" applyAlignment="1" applyProtection="1">
      <alignment vertical="center"/>
    </xf>
    <xf numFmtId="0" fontId="3" fillId="30" borderId="60" xfId="0" applyFont="1" applyFill="1" applyBorder="1" applyAlignment="1" applyProtection="1">
      <alignment horizontal="center" vertical="center"/>
    </xf>
    <xf numFmtId="0" fontId="3" fillId="30" borderId="60" xfId="0" applyFont="1" applyFill="1" applyBorder="1" applyAlignment="1" applyProtection="1">
      <alignment vertical="center"/>
    </xf>
    <xf numFmtId="0" fontId="117" fillId="30" borderId="60" xfId="0" applyFont="1" applyFill="1" applyBorder="1" applyAlignment="1" applyProtection="1">
      <alignment vertical="center"/>
    </xf>
    <xf numFmtId="0" fontId="33" fillId="30" borderId="61" xfId="44" applyFont="1" applyFill="1" applyBorder="1" applyAlignment="1" applyProtection="1">
      <alignment vertical="center"/>
    </xf>
    <xf numFmtId="0" fontId="64" fillId="27" borderId="62" xfId="0" applyFont="1" applyFill="1" applyBorder="1" applyAlignment="1" applyProtection="1">
      <alignment vertical="center"/>
    </xf>
    <xf numFmtId="0" fontId="33" fillId="27" borderId="0" xfId="44" applyFont="1" applyFill="1" applyBorder="1" applyAlignment="1" applyProtection="1">
      <alignment vertical="center"/>
    </xf>
    <xf numFmtId="0" fontId="33" fillId="27" borderId="0" xfId="44" applyFont="1" applyFill="1" applyBorder="1" applyAlignment="1" applyProtection="1">
      <alignment horizontal="left" vertical="center"/>
    </xf>
    <xf numFmtId="0" fontId="33" fillId="27" borderId="0" xfId="44" applyNumberFormat="1" applyFont="1" applyFill="1" applyBorder="1" applyAlignment="1" applyProtection="1">
      <alignment vertical="center"/>
    </xf>
    <xf numFmtId="0" fontId="3" fillId="27" borderId="0" xfId="44" applyNumberFormat="1" applyFont="1" applyFill="1" applyBorder="1" applyAlignment="1" applyProtection="1">
      <alignment vertical="center"/>
    </xf>
    <xf numFmtId="0" fontId="34" fillId="27" borderId="0" xfId="0" applyFont="1" applyFill="1" applyBorder="1" applyAlignment="1" applyProtection="1">
      <alignment horizontal="center" vertical="center"/>
    </xf>
    <xf numFmtId="0" fontId="3" fillId="27" borderId="0" xfId="0" applyFont="1" applyFill="1" applyBorder="1" applyAlignment="1" applyProtection="1">
      <alignment vertical="center"/>
    </xf>
    <xf numFmtId="0" fontId="117" fillId="27" borderId="0" xfId="0" applyFont="1" applyFill="1" applyBorder="1" applyAlignment="1" applyProtection="1">
      <alignment vertical="center"/>
    </xf>
    <xf numFmtId="0" fontId="24" fillId="27" borderId="62" xfId="44" applyFont="1" applyFill="1" applyBorder="1" applyAlignment="1" applyProtection="1">
      <alignment vertical="center"/>
    </xf>
    <xf numFmtId="0" fontId="34" fillId="27" borderId="0" xfId="44" applyFont="1" applyFill="1" applyBorder="1" applyAlignment="1" applyProtection="1">
      <alignment horizontal="right" vertical="center"/>
    </xf>
    <xf numFmtId="0" fontId="7" fillId="27" borderId="0" xfId="44" applyFont="1" applyFill="1" applyBorder="1" applyAlignment="1" applyProtection="1">
      <alignment vertical="center"/>
    </xf>
    <xf numFmtId="0" fontId="34" fillId="27" borderId="63" xfId="44" applyFont="1" applyFill="1" applyBorder="1" applyAlignment="1" applyProtection="1">
      <alignment horizontal="right" vertical="center"/>
    </xf>
    <xf numFmtId="0" fontId="126" fillId="27" borderId="0" xfId="44" applyFont="1" applyFill="1" applyBorder="1" applyAlignment="1" applyProtection="1">
      <alignment vertical="center"/>
    </xf>
    <xf numFmtId="0" fontId="70" fillId="27" borderId="0" xfId="44" applyFont="1" applyFill="1" applyBorder="1" applyAlignment="1" applyProtection="1">
      <alignment horizontal="left" vertical="center"/>
    </xf>
    <xf numFmtId="0" fontId="34" fillId="31" borderId="10" xfId="44" applyFont="1" applyFill="1" applyBorder="1" applyAlignment="1" applyProtection="1">
      <alignment horizontal="center" vertical="center"/>
    </xf>
    <xf numFmtId="180" fontId="34" fillId="31" borderId="10" xfId="44" applyNumberFormat="1" applyFont="1" applyFill="1" applyBorder="1" applyAlignment="1" applyProtection="1">
      <alignment horizontal="center" vertical="center"/>
    </xf>
    <xf numFmtId="0" fontId="34" fillId="31" borderId="10" xfId="44" applyFont="1" applyFill="1" applyBorder="1" applyAlignment="1" applyProtection="1">
      <alignment vertical="center"/>
    </xf>
    <xf numFmtId="0" fontId="34" fillId="27" borderId="0" xfId="44" applyFont="1" applyFill="1" applyBorder="1" applyAlignment="1" applyProtection="1">
      <alignment vertical="center"/>
    </xf>
    <xf numFmtId="0" fontId="34" fillId="31" borderId="150" xfId="44" applyFont="1" applyFill="1" applyBorder="1" applyAlignment="1" applyProtection="1">
      <alignment vertical="center"/>
    </xf>
    <xf numFmtId="0" fontId="34" fillId="27" borderId="0" xfId="44" applyFont="1" applyFill="1" applyBorder="1" applyAlignment="1" applyProtection="1">
      <alignment horizontal="left" vertical="center"/>
    </xf>
    <xf numFmtId="0" fontId="34" fillId="27" borderId="26" xfId="0" applyFont="1" applyFill="1" applyBorder="1">
      <alignment vertical="center"/>
    </xf>
    <xf numFmtId="0" fontId="7" fillId="27" borderId="63" xfId="44" applyFont="1" applyFill="1" applyBorder="1" applyAlignment="1" applyProtection="1">
      <alignment vertical="center"/>
    </xf>
    <xf numFmtId="178" fontId="34" fillId="27" borderId="144" xfId="44" applyNumberFormat="1" applyFont="1" applyFill="1" applyBorder="1" applyAlignment="1" applyProtection="1">
      <alignment horizontal="right" vertical="center"/>
    </xf>
    <xf numFmtId="0" fontId="126" fillId="27" borderId="0" xfId="44" applyFont="1" applyFill="1" applyBorder="1" applyAlignment="1" applyProtection="1">
      <alignment horizontal="right" vertical="center"/>
    </xf>
    <xf numFmtId="178" fontId="34" fillId="27" borderId="0" xfId="44" applyNumberFormat="1" applyFont="1" applyFill="1" applyBorder="1" applyAlignment="1" applyProtection="1">
      <alignment horizontal="right" vertical="center"/>
    </xf>
    <xf numFmtId="38" fontId="34" fillId="27" borderId="10" xfId="35" applyFont="1" applyFill="1" applyBorder="1" applyAlignment="1">
      <alignment vertical="center"/>
    </xf>
    <xf numFmtId="0" fontId="34" fillId="27" borderId="10" xfId="0" applyFont="1" applyFill="1" applyBorder="1">
      <alignment vertical="center"/>
    </xf>
    <xf numFmtId="180" fontId="34" fillId="27" borderId="17" xfId="44" applyNumberFormat="1" applyFont="1" applyFill="1" applyBorder="1" applyAlignment="1" applyProtection="1">
      <alignment horizontal="center" vertical="center"/>
    </xf>
    <xf numFmtId="0" fontId="7" fillId="27" borderId="26" xfId="44" applyFont="1" applyFill="1" applyBorder="1" applyAlignment="1" applyProtection="1">
      <alignment horizontal="left" vertical="center"/>
    </xf>
    <xf numFmtId="0" fontId="34" fillId="27" borderId="50" xfId="44" applyFont="1" applyFill="1" applyBorder="1" applyAlignment="1" applyProtection="1">
      <alignment vertical="center"/>
    </xf>
    <xf numFmtId="0" fontId="7" fillId="27" borderId="27" xfId="44" applyFont="1" applyFill="1" applyBorder="1" applyAlignment="1" applyProtection="1">
      <alignment vertical="center"/>
    </xf>
    <xf numFmtId="179" fontId="7" fillId="27" borderId="10" xfId="44" applyNumberFormat="1" applyFont="1" applyFill="1" applyBorder="1" applyAlignment="1" applyProtection="1">
      <alignment vertical="center"/>
    </xf>
    <xf numFmtId="179" fontId="7" fillId="27" borderId="150" xfId="44" applyNumberFormat="1" applyFont="1" applyFill="1" applyBorder="1" applyAlignment="1" applyProtection="1">
      <alignment vertical="center"/>
    </xf>
    <xf numFmtId="179" fontId="7" fillId="27" borderId="51" xfId="44" applyNumberFormat="1" applyFont="1" applyFill="1" applyBorder="1" applyAlignment="1" applyProtection="1">
      <alignment vertical="center"/>
    </xf>
    <xf numFmtId="179" fontId="7" fillId="27" borderId="152" xfId="44" applyNumberFormat="1" applyFont="1" applyFill="1" applyBorder="1" applyAlignment="1" applyProtection="1">
      <alignment horizontal="right" vertical="center"/>
    </xf>
    <xf numFmtId="0" fontId="5" fillId="33" borderId="153" xfId="44" applyFont="1" applyFill="1" applyBorder="1" applyAlignment="1" applyProtection="1">
      <alignment vertical="center"/>
    </xf>
    <xf numFmtId="0" fontId="33" fillId="33" borderId="126" xfId="44" applyFont="1" applyFill="1" applyBorder="1" applyAlignment="1" applyProtection="1">
      <alignment horizontal="left" vertical="center"/>
    </xf>
    <xf numFmtId="0" fontId="33" fillId="33" borderId="126" xfId="44" applyFont="1" applyFill="1" applyBorder="1" applyAlignment="1" applyProtection="1">
      <alignment vertical="center"/>
    </xf>
    <xf numFmtId="0" fontId="3" fillId="33" borderId="154" xfId="44" applyFont="1" applyFill="1" applyBorder="1" applyAlignment="1" applyProtection="1">
      <alignment vertical="center"/>
    </xf>
    <xf numFmtId="179" fontId="5" fillId="33" borderId="136" xfId="44" applyNumberFormat="1" applyFont="1" applyFill="1" applyBorder="1" applyAlignment="1" applyProtection="1">
      <alignment horizontal="right" vertical="center"/>
    </xf>
    <xf numFmtId="0" fontId="34" fillId="27" borderId="66" xfId="44" applyFont="1" applyFill="1" applyBorder="1" applyAlignment="1" applyProtection="1">
      <alignment vertical="center"/>
    </xf>
    <xf numFmtId="179" fontId="5" fillId="33" borderId="155" xfId="44" applyNumberFormat="1" applyFont="1" applyFill="1" applyBorder="1" applyAlignment="1" applyProtection="1">
      <alignment horizontal="right" vertical="center"/>
    </xf>
    <xf numFmtId="0" fontId="147" fillId="0" borderId="0" xfId="0" applyFont="1" applyFill="1" applyBorder="1" applyAlignment="1" applyProtection="1">
      <alignment vertical="center"/>
    </xf>
    <xf numFmtId="0" fontId="148"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0" fillId="0" borderId="0" xfId="0" applyFill="1" applyProtection="1">
      <alignment vertical="center"/>
    </xf>
    <xf numFmtId="0" fontId="34" fillId="0" borderId="126" xfId="0" applyFont="1" applyFill="1" applyBorder="1" applyProtection="1">
      <alignment vertical="center"/>
    </xf>
    <xf numFmtId="0" fontId="34" fillId="0" borderId="126" xfId="0" applyFont="1" applyFill="1" applyBorder="1" applyAlignment="1" applyProtection="1">
      <alignment horizontal="left" vertical="top" wrapText="1"/>
    </xf>
    <xf numFmtId="3" fontId="28" fillId="0" borderId="0" xfId="0" applyNumberFormat="1" applyFont="1" applyFill="1" applyBorder="1" applyAlignment="1" applyProtection="1">
      <alignment horizontal="left" vertical="center"/>
    </xf>
    <xf numFmtId="0" fontId="34" fillId="0" borderId="0" xfId="0" applyFont="1" applyFill="1" applyProtection="1">
      <alignment vertical="center"/>
    </xf>
    <xf numFmtId="0" fontId="0" fillId="31" borderId="156" xfId="0" applyFill="1" applyBorder="1" applyAlignment="1" applyProtection="1">
      <alignment horizontal="center" vertical="center"/>
    </xf>
    <xf numFmtId="0" fontId="0" fillId="31" borderId="157" xfId="0" applyFill="1" applyBorder="1" applyAlignment="1" applyProtection="1">
      <alignment horizontal="center" vertical="center"/>
    </xf>
    <xf numFmtId="0" fontId="0" fillId="31" borderId="158" xfId="0" applyFill="1" applyBorder="1" applyProtection="1">
      <alignment vertical="center"/>
    </xf>
    <xf numFmtId="0" fontId="0" fillId="27" borderId="120" xfId="0" applyFill="1" applyBorder="1" applyAlignment="1" applyProtection="1">
      <alignment horizontal="center" vertical="center"/>
    </xf>
    <xf numFmtId="0" fontId="0" fillId="0" borderId="0" xfId="0" applyFill="1" applyAlignment="1" applyProtection="1">
      <alignment vertical="center"/>
    </xf>
    <xf numFmtId="0" fontId="0" fillId="27" borderId="159" xfId="0" applyFill="1" applyBorder="1" applyAlignment="1" applyProtection="1">
      <alignment horizontal="center" vertical="center" wrapText="1"/>
    </xf>
    <xf numFmtId="0" fontId="0" fillId="27" borderId="160" xfId="0" applyFill="1" applyBorder="1" applyAlignment="1" applyProtection="1">
      <alignment horizontal="center" vertical="center" wrapText="1"/>
    </xf>
    <xf numFmtId="0" fontId="0" fillId="27" borderId="116" xfId="0" applyFill="1" applyBorder="1" applyAlignment="1" applyProtection="1">
      <alignment horizontal="center" vertical="center" wrapText="1"/>
    </xf>
    <xf numFmtId="0" fontId="0" fillId="0" borderId="0" xfId="0" applyFill="1">
      <alignment vertical="center"/>
    </xf>
    <xf numFmtId="0" fontId="0" fillId="0" borderId="0" xfId="0" applyFill="1" applyAlignment="1">
      <alignment horizontal="left" vertical="center"/>
    </xf>
    <xf numFmtId="0" fontId="49" fillId="0" borderId="0" xfId="0" applyFont="1" applyFill="1" applyAlignment="1" applyProtection="1">
      <alignment horizontal="left" vertical="center"/>
    </xf>
    <xf numFmtId="0" fontId="29" fillId="0" borderId="0" xfId="0" applyFont="1" applyAlignment="1" applyProtection="1">
      <alignment vertical="center"/>
    </xf>
    <xf numFmtId="0" fontId="34" fillId="0" borderId="57" xfId="0" applyFont="1" applyFill="1" applyBorder="1" applyAlignment="1" applyProtection="1">
      <alignment horizontal="center" vertical="center"/>
    </xf>
    <xf numFmtId="0" fontId="34" fillId="0" borderId="57" xfId="0" applyFont="1" applyFill="1" applyBorder="1" applyAlignment="1" applyProtection="1">
      <alignment vertical="center"/>
    </xf>
    <xf numFmtId="0" fontId="34" fillId="0" borderId="57" xfId="0" applyFont="1" applyBorder="1" applyAlignment="1" applyProtection="1">
      <alignment vertical="center"/>
    </xf>
    <xf numFmtId="0" fontId="49" fillId="0" borderId="0" xfId="0" applyFont="1" applyFill="1" applyAlignment="1" applyProtection="1">
      <alignment horizontal="left" vertical="center"/>
      <protection hidden="1"/>
    </xf>
    <xf numFmtId="0" fontId="29" fillId="0" borderId="0" xfId="0" applyFont="1" applyFill="1" applyAlignment="1" applyProtection="1">
      <alignment vertical="center"/>
      <protection hidden="1"/>
    </xf>
    <xf numFmtId="0" fontId="150" fillId="0" borderId="0" xfId="0" applyFont="1" applyFill="1" applyAlignment="1" applyProtection="1">
      <alignment vertical="center"/>
      <protection hidden="1"/>
    </xf>
    <xf numFmtId="0" fontId="29" fillId="41" borderId="144" xfId="0" applyFont="1" applyFill="1" applyBorder="1" applyAlignment="1" applyProtection="1">
      <alignment vertical="center"/>
      <protection hidden="1"/>
    </xf>
    <xf numFmtId="0" fontId="38" fillId="0" borderId="0" xfId="0" applyFont="1" applyFill="1" applyAlignment="1" applyProtection="1">
      <alignment vertical="center"/>
      <protection hidden="1"/>
    </xf>
    <xf numFmtId="0" fontId="29" fillId="0" borderId="0" xfId="0" applyFont="1" applyFill="1" applyAlignment="1" applyProtection="1">
      <alignment horizontal="left" vertical="center"/>
      <protection hidden="1"/>
    </xf>
    <xf numFmtId="0" fontId="27" fillId="0" borderId="0" xfId="0" applyFont="1" applyFill="1" applyAlignment="1" applyProtection="1">
      <alignment vertical="center"/>
      <protection hidden="1"/>
    </xf>
    <xf numFmtId="0" fontId="46" fillId="0" borderId="0" xfId="0" applyFont="1" applyFill="1" applyAlignment="1" applyProtection="1">
      <alignment vertical="center"/>
      <protection hidden="1"/>
    </xf>
    <xf numFmtId="0" fontId="151" fillId="0" borderId="0" xfId="0" applyFont="1" applyFill="1" applyAlignment="1" applyProtection="1">
      <alignment vertical="center"/>
      <protection hidden="1"/>
    </xf>
    <xf numFmtId="0" fontId="46" fillId="0" borderId="0" xfId="0" applyFont="1" applyFill="1" applyBorder="1" applyAlignment="1" applyProtection="1">
      <alignment horizontal="left" vertical="center"/>
      <protection hidden="1"/>
    </xf>
    <xf numFmtId="0" fontId="49" fillId="0" borderId="0" xfId="0" applyFont="1" applyFill="1" applyAlignment="1" applyProtection="1">
      <alignment vertical="center"/>
      <protection hidden="1"/>
    </xf>
    <xf numFmtId="0" fontId="28" fillId="0" borderId="0" xfId="0" applyFont="1" applyFill="1" applyBorder="1" applyAlignment="1">
      <alignment horizontal="left" vertical="center"/>
    </xf>
    <xf numFmtId="0" fontId="152" fillId="0" borderId="0" xfId="0" applyFont="1" applyFill="1" applyBorder="1" applyAlignment="1" applyProtection="1">
      <alignment vertical="center"/>
      <protection hidden="1"/>
    </xf>
    <xf numFmtId="0" fontId="24" fillId="0" borderId="0" xfId="0" applyFont="1" applyFill="1" applyBorder="1" applyAlignment="1" applyProtection="1">
      <alignment horizontal="right" vertical="center"/>
      <protection hidden="1"/>
    </xf>
    <xf numFmtId="0" fontId="27" fillId="0" borderId="0" xfId="0" applyFont="1" applyFill="1" applyBorder="1" applyAlignment="1" applyProtection="1">
      <alignment horizontal="right" vertical="center"/>
      <protection hidden="1"/>
    </xf>
    <xf numFmtId="179" fontId="29" fillId="31" borderId="52" xfId="0" applyNumberFormat="1" applyFont="1" applyFill="1" applyBorder="1" applyAlignment="1" applyProtection="1">
      <alignment horizontal="left" vertical="center"/>
      <protection hidden="1"/>
    </xf>
    <xf numFmtId="179" fontId="29" fillId="31" borderId="50" xfId="0" applyNumberFormat="1" applyFont="1" applyFill="1" applyBorder="1" applyAlignment="1" applyProtection="1">
      <alignment horizontal="left" vertical="center"/>
      <protection hidden="1"/>
    </xf>
    <xf numFmtId="179" fontId="29" fillId="31" borderId="50" xfId="0" applyNumberFormat="1" applyFont="1" applyFill="1" applyBorder="1" applyAlignment="1" applyProtection="1">
      <alignment horizontal="centerContinuous" vertical="center"/>
      <protection hidden="1"/>
    </xf>
    <xf numFmtId="0" fontId="38" fillId="31" borderId="50" xfId="0" applyFont="1" applyFill="1" applyBorder="1" applyAlignment="1" applyProtection="1">
      <alignment horizontal="right" vertical="center"/>
      <protection hidden="1"/>
    </xf>
    <xf numFmtId="2" fontId="29" fillId="31" borderId="50" xfId="0" applyNumberFormat="1" applyFont="1" applyFill="1" applyBorder="1" applyAlignment="1" applyProtection="1">
      <alignment horizontal="left" vertical="center"/>
      <protection hidden="1"/>
    </xf>
    <xf numFmtId="179" fontId="29" fillId="31" borderId="27" xfId="0" applyNumberFormat="1" applyFont="1" applyFill="1" applyBorder="1" applyAlignment="1" applyProtection="1">
      <alignment horizontal="left" vertical="center"/>
      <protection hidden="1"/>
    </xf>
    <xf numFmtId="2" fontId="29" fillId="31" borderId="27" xfId="0" applyNumberFormat="1" applyFont="1" applyFill="1" applyBorder="1" applyAlignment="1" applyProtection="1">
      <alignment horizontal="left" vertical="center"/>
      <protection hidden="1"/>
    </xf>
    <xf numFmtId="194" fontId="27" fillId="31" borderId="144" xfId="0" applyNumberFormat="1" applyFont="1" applyFill="1" applyBorder="1" applyAlignment="1" applyProtection="1">
      <alignment horizontal="center" vertical="center"/>
      <protection locked="0" hidden="1"/>
    </xf>
    <xf numFmtId="0" fontId="29" fillId="31" borderId="56" xfId="0" applyFont="1" applyFill="1" applyBorder="1" applyAlignment="1" applyProtection="1">
      <alignment horizontal="centerContinuous" vertical="center" wrapText="1"/>
      <protection hidden="1"/>
    </xf>
    <xf numFmtId="0" fontId="29" fillId="31" borderId="55" xfId="0" applyFont="1" applyFill="1" applyBorder="1" applyAlignment="1" applyProtection="1">
      <alignment horizontal="center" vertical="center"/>
      <protection hidden="1"/>
    </xf>
    <xf numFmtId="0" fontId="29" fillId="31" borderId="57" xfId="0" applyFont="1" applyFill="1" applyBorder="1" applyAlignment="1" applyProtection="1">
      <alignment horizontal="center" vertical="center"/>
      <protection hidden="1"/>
    </xf>
    <xf numFmtId="0" fontId="29" fillId="31" borderId="80" xfId="0" applyFont="1" applyFill="1" applyBorder="1" applyAlignment="1" applyProtection="1">
      <alignment horizontal="centerContinuous" vertical="center"/>
      <protection hidden="1"/>
    </xf>
    <xf numFmtId="0" fontId="29" fillId="31" borderId="50" xfId="0"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27" fillId="27" borderId="161" xfId="0" applyFont="1" applyFill="1" applyBorder="1" applyAlignment="1" applyProtection="1">
      <alignment horizontal="center" vertical="center"/>
      <protection hidden="1"/>
    </xf>
    <xf numFmtId="0" fontId="29" fillId="27" borderId="162" xfId="0" applyFont="1" applyFill="1" applyBorder="1" applyAlignment="1" applyProtection="1">
      <alignment horizontal="left" vertical="center" wrapText="1"/>
      <protection hidden="1"/>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4" xfId="0" applyFont="1" applyFill="1" applyBorder="1" applyAlignment="1" applyProtection="1">
      <alignment horizontal="left" vertical="center"/>
      <protection hidden="1"/>
    </xf>
    <xf numFmtId="0" fontId="27" fillId="27" borderId="165" xfId="0" applyFont="1" applyFill="1" applyBorder="1" applyAlignment="1" applyProtection="1">
      <alignment horizontal="center" vertical="center"/>
      <protection hidden="1"/>
    </xf>
    <xf numFmtId="0" fontId="29" fillId="27" borderId="11" xfId="0" applyFont="1" applyFill="1" applyBorder="1" applyAlignment="1" applyProtection="1">
      <alignment vertical="center" shrinkToFit="1"/>
      <protection hidden="1"/>
    </xf>
    <xf numFmtId="0" fontId="29" fillId="27" borderId="14" xfId="0" applyFont="1" applyFill="1" applyBorder="1" applyAlignment="1" applyProtection="1">
      <alignment vertical="center" shrinkToFit="1"/>
      <protection hidden="1"/>
    </xf>
    <xf numFmtId="0" fontId="29" fillId="27" borderId="12"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11" xfId="0" applyFont="1" applyFill="1" applyBorder="1" applyAlignment="1" applyProtection="1">
      <alignment horizontal="left" vertical="center" wrapText="1"/>
      <protection hidden="1"/>
    </xf>
    <xf numFmtId="0" fontId="29" fillId="27" borderId="12" xfId="0" applyFont="1" applyFill="1" applyBorder="1" applyAlignment="1" applyProtection="1">
      <alignment vertical="center" wrapText="1"/>
      <protection hidden="1"/>
    </xf>
    <xf numFmtId="0" fontId="29" fillId="27" borderId="11" xfId="0" applyFont="1" applyFill="1" applyBorder="1" applyAlignment="1" applyProtection="1">
      <alignment vertical="center" wrapText="1"/>
      <protection hidden="1"/>
    </xf>
    <xf numFmtId="0" fontId="29" fillId="27" borderId="14" xfId="0" applyFont="1" applyFill="1" applyBorder="1" applyAlignment="1" applyProtection="1">
      <alignment vertical="center" wrapText="1"/>
      <protection hidden="1"/>
    </xf>
    <xf numFmtId="0" fontId="27" fillId="27" borderId="166" xfId="0" applyFont="1" applyFill="1" applyBorder="1" applyAlignment="1" applyProtection="1">
      <alignment horizontal="center" vertical="center"/>
      <protection hidden="1"/>
    </xf>
    <xf numFmtId="0" fontId="29" fillId="27" borderId="167" xfId="0" applyFont="1" applyFill="1" applyBorder="1" applyAlignment="1" applyProtection="1">
      <alignment vertical="center" wrapText="1"/>
      <protection hidden="1"/>
    </xf>
    <xf numFmtId="0" fontId="29" fillId="27" borderId="166" xfId="0" applyFont="1" applyFill="1" applyBorder="1" applyAlignment="1" applyProtection="1">
      <alignment vertical="center" wrapText="1"/>
      <protection hidden="1"/>
    </xf>
    <xf numFmtId="0" fontId="29" fillId="27" borderId="168" xfId="0" applyFont="1" applyFill="1" applyBorder="1" applyAlignment="1" applyProtection="1">
      <alignment vertical="center" wrapText="1"/>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8" xfId="0" applyFont="1" applyFill="1" applyBorder="1" applyAlignment="1" applyProtection="1">
      <alignment horizontal="left" vertical="center"/>
      <protection hidden="1"/>
    </xf>
    <xf numFmtId="193" fontId="29" fillId="0" borderId="10" xfId="35" applyNumberFormat="1" applyFont="1" applyFill="1" applyBorder="1" applyAlignment="1" applyProtection="1">
      <alignment horizontal="center" vertical="center"/>
      <protection hidden="1"/>
    </xf>
    <xf numFmtId="0" fontId="27" fillId="0" borderId="0" xfId="0" applyFont="1" applyFill="1" applyProtection="1">
      <alignment vertical="center"/>
    </xf>
    <xf numFmtId="0" fontId="29" fillId="38" borderId="0" xfId="0" applyFont="1" applyFill="1" applyProtection="1">
      <alignment vertical="center"/>
    </xf>
    <xf numFmtId="0" fontId="29" fillId="27" borderId="10" xfId="0" applyFont="1" applyFill="1" applyBorder="1" applyProtection="1">
      <alignment vertical="center"/>
    </xf>
    <xf numFmtId="0" fontId="29" fillId="27" borderId="10" xfId="0" quotePrefix="1" applyFont="1" applyFill="1" applyBorder="1" applyAlignment="1" applyProtection="1">
      <alignment horizontal="center" vertical="center"/>
    </xf>
    <xf numFmtId="0" fontId="29" fillId="27" borderId="51" xfId="0" applyFont="1" applyFill="1" applyBorder="1" applyAlignment="1" applyProtection="1">
      <alignment horizontal="center" vertical="center"/>
    </xf>
    <xf numFmtId="0" fontId="29" fillId="27" borderId="26" xfId="0" applyFont="1" applyFill="1" applyBorder="1" applyProtection="1">
      <alignment vertical="center"/>
    </xf>
    <xf numFmtId="0" fontId="38" fillId="27" borderId="26" xfId="0" applyFont="1" applyFill="1" applyBorder="1" applyAlignment="1" applyProtection="1">
      <alignment horizontal="right" vertical="center"/>
    </xf>
    <xf numFmtId="0" fontId="38" fillId="27" borderId="50" xfId="0" applyFont="1" applyFill="1" applyBorder="1" applyAlignment="1" applyProtection="1">
      <alignment vertical="center"/>
    </xf>
    <xf numFmtId="0" fontId="38" fillId="27" borderId="50" xfId="0" applyFont="1" applyFill="1" applyBorder="1" applyAlignment="1" applyProtection="1">
      <alignment horizontal="center" vertical="center"/>
    </xf>
    <xf numFmtId="0" fontId="38" fillId="27" borderId="52" xfId="0" applyFont="1" applyFill="1" applyBorder="1" applyProtection="1">
      <alignment vertical="center"/>
    </xf>
    <xf numFmtId="0" fontId="38" fillId="27" borderId="53" xfId="0" applyFont="1" applyFill="1" applyBorder="1" applyProtection="1">
      <alignment vertical="center"/>
    </xf>
    <xf numFmtId="0" fontId="38" fillId="27" borderId="53" xfId="0" applyFont="1" applyFill="1" applyBorder="1" applyAlignment="1" applyProtection="1">
      <alignment vertical="top" wrapText="1"/>
    </xf>
    <xf numFmtId="0" fontId="38" fillId="27" borderId="53" xfId="0" applyFont="1" applyFill="1" applyBorder="1" applyAlignment="1" applyProtection="1">
      <alignment horizontal="center" vertical="top"/>
    </xf>
    <xf numFmtId="0" fontId="38" fillId="27" borderId="54" xfId="0" applyFont="1" applyFill="1" applyBorder="1" applyAlignment="1" applyProtection="1">
      <alignment horizontal="right" vertical="top" wrapText="1"/>
    </xf>
    <xf numFmtId="0" fontId="38" fillId="27" borderId="56" xfId="0" applyFont="1" applyFill="1" applyBorder="1" applyAlignment="1" applyProtection="1">
      <alignment vertical="center"/>
    </xf>
    <xf numFmtId="0" fontId="38" fillId="27" borderId="57" xfId="0" applyFont="1" applyFill="1" applyBorder="1" applyAlignment="1" applyProtection="1">
      <alignment vertical="center"/>
    </xf>
    <xf numFmtId="0" fontId="38" fillId="27" borderId="57" xfId="0" applyFont="1" applyFill="1" applyBorder="1" applyAlignment="1" applyProtection="1">
      <alignment horizontal="left" vertical="center"/>
    </xf>
    <xf numFmtId="0" fontId="38" fillId="27" borderId="57" xfId="0" applyFont="1" applyFill="1" applyBorder="1" applyAlignment="1" applyProtection="1">
      <alignment vertical="center" wrapText="1"/>
    </xf>
    <xf numFmtId="0" fontId="38" fillId="27" borderId="57" xfId="0" applyFont="1" applyFill="1" applyBorder="1" applyAlignment="1" applyProtection="1">
      <alignment horizontal="center" vertical="center"/>
    </xf>
    <xf numFmtId="0" fontId="38" fillId="27" borderId="58" xfId="0" applyFont="1" applyFill="1" applyBorder="1" applyAlignment="1" applyProtection="1">
      <alignment vertical="center" wrapText="1"/>
    </xf>
    <xf numFmtId="0" fontId="29" fillId="27" borderId="51" xfId="0" applyFont="1" applyFill="1" applyBorder="1" applyProtection="1">
      <alignment vertical="center"/>
    </xf>
    <xf numFmtId="0" fontId="38" fillId="27" borderId="54" xfId="0" applyFont="1" applyFill="1" applyBorder="1" applyProtection="1">
      <alignment vertical="center"/>
    </xf>
    <xf numFmtId="0" fontId="29" fillId="27" borderId="15" xfId="0" applyFont="1" applyFill="1" applyBorder="1" applyProtection="1">
      <alignment vertical="center"/>
    </xf>
    <xf numFmtId="0" fontId="38" fillId="27" borderId="0" xfId="0" applyFont="1" applyFill="1" applyBorder="1" applyProtection="1">
      <alignment vertical="center"/>
    </xf>
    <xf numFmtId="0" fontId="38" fillId="27" borderId="0" xfId="0" applyFont="1" applyFill="1" applyBorder="1" applyAlignment="1" applyProtection="1">
      <alignment horizontal="left" vertical="center"/>
    </xf>
    <xf numFmtId="0" fontId="38" fillId="27" borderId="0" xfId="0" applyFont="1" applyFill="1" applyBorder="1" applyAlignment="1" applyProtection="1">
      <alignment horizontal="center" vertical="center"/>
    </xf>
    <xf numFmtId="0" fontId="38" fillId="27" borderId="17" xfId="0" applyFont="1" applyFill="1" applyBorder="1" applyProtection="1">
      <alignment vertical="center"/>
    </xf>
    <xf numFmtId="0" fontId="38" fillId="27" borderId="17" xfId="0" applyFont="1" applyFill="1" applyBorder="1" applyAlignment="1" applyProtection="1">
      <alignment horizontal="center" vertical="center"/>
    </xf>
    <xf numFmtId="0" fontId="38" fillId="27" borderId="0" xfId="0" applyFont="1" applyFill="1" applyBorder="1" applyAlignment="1" applyProtection="1">
      <alignment vertical="top" wrapText="1"/>
    </xf>
    <xf numFmtId="0" fontId="38" fillId="27" borderId="57" xfId="0" applyFont="1" applyFill="1" applyBorder="1" applyProtection="1">
      <alignment vertical="center"/>
    </xf>
    <xf numFmtId="0" fontId="38" fillId="27" borderId="57" xfId="0" applyFont="1" applyFill="1" applyBorder="1" applyAlignment="1" applyProtection="1">
      <alignment horizontal="center" vertical="top" wrapText="1"/>
    </xf>
    <xf numFmtId="0" fontId="38" fillId="27" borderId="58" xfId="0" applyFont="1" applyFill="1" applyBorder="1" applyProtection="1">
      <alignment vertical="center"/>
    </xf>
    <xf numFmtId="0" fontId="38" fillId="38" borderId="0" xfId="0" applyFont="1" applyFill="1" applyProtection="1">
      <alignment vertical="center"/>
    </xf>
    <xf numFmtId="0" fontId="38" fillId="38" borderId="0" xfId="0" applyFont="1" applyFill="1" applyAlignment="1" applyProtection="1">
      <alignment horizontal="right" vertical="center"/>
    </xf>
    <xf numFmtId="0" fontId="29" fillId="38" borderId="0" xfId="0" applyFont="1" applyFill="1" applyAlignment="1" applyProtection="1">
      <alignment vertical="center"/>
      <protection hidden="1"/>
    </xf>
    <xf numFmtId="0" fontId="152" fillId="38" borderId="0" xfId="0" applyFont="1" applyFill="1" applyBorder="1" applyAlignment="1" applyProtection="1">
      <alignment vertical="center"/>
      <protection hidden="1"/>
    </xf>
    <xf numFmtId="0" fontId="27" fillId="38" borderId="0" xfId="0" applyFont="1" applyFill="1" applyBorder="1" applyAlignment="1" applyProtection="1">
      <alignment horizontal="right" vertical="center"/>
      <protection hidden="1"/>
    </xf>
    <xf numFmtId="0" fontId="151" fillId="38" borderId="0" xfId="0" applyFont="1" applyFill="1" applyBorder="1" applyAlignment="1" applyProtection="1">
      <alignment vertical="center"/>
    </xf>
    <xf numFmtId="0" fontId="24" fillId="38" borderId="0" xfId="0" applyFont="1" applyFill="1" applyBorder="1" applyAlignment="1" applyProtection="1">
      <alignment horizontal="right" vertical="center"/>
      <protection hidden="1"/>
    </xf>
    <xf numFmtId="0" fontId="27" fillId="31" borderId="144" xfId="0" applyFont="1" applyFill="1" applyBorder="1" applyAlignment="1" applyProtection="1">
      <alignment horizontal="center" vertical="center"/>
      <protection hidden="1"/>
    </xf>
    <xf numFmtId="0" fontId="29" fillId="31" borderId="50" xfId="0" applyFont="1" applyFill="1" applyBorder="1" applyAlignment="1" applyProtection="1">
      <alignment horizontal="center" vertical="center"/>
      <protection hidden="1"/>
    </xf>
    <xf numFmtId="0" fontId="29" fillId="31" borderId="26" xfId="0" applyFont="1" applyFill="1" applyBorder="1" applyAlignment="1" applyProtection="1">
      <alignment vertical="center"/>
      <protection hidden="1"/>
    </xf>
    <xf numFmtId="0" fontId="29" fillId="27" borderId="162" xfId="0" applyFont="1" applyFill="1" applyBorder="1" applyAlignment="1" applyProtection="1">
      <alignment vertical="center" wrapText="1"/>
      <protection hidden="1"/>
    </xf>
    <xf numFmtId="0" fontId="29" fillId="0" borderId="0" xfId="0" applyFont="1" applyFill="1" applyAlignment="1" applyProtection="1">
      <alignment horizontal="left"/>
      <protection hidden="1"/>
    </xf>
    <xf numFmtId="0" fontId="27" fillId="0" borderId="0" xfId="0" applyFont="1" applyFill="1" applyAlignment="1" applyProtection="1">
      <protection hidden="1"/>
    </xf>
    <xf numFmtId="0" fontId="29" fillId="38" borderId="0" xfId="0" applyFont="1" applyFill="1" applyAlignment="1" applyProtection="1">
      <protection hidden="1"/>
    </xf>
    <xf numFmtId="0" fontId="29" fillId="38" borderId="0" xfId="0" applyFont="1" applyFill="1" applyAlignment="1" applyProtection="1"/>
    <xf numFmtId="0" fontId="29" fillId="31" borderId="144" xfId="0" applyFont="1" applyFill="1" applyBorder="1" applyAlignment="1" applyProtection="1">
      <alignment horizontal="center"/>
      <protection locked="0"/>
    </xf>
    <xf numFmtId="0" fontId="29" fillId="38" borderId="0" xfId="0" applyFont="1" applyFill="1" applyBorder="1" applyAlignment="1" applyProtection="1">
      <alignment horizontal="right"/>
      <protection hidden="1"/>
    </xf>
    <xf numFmtId="0" fontId="49" fillId="0" borderId="0" xfId="0" applyFont="1" applyFill="1" applyAlignment="1" applyProtection="1">
      <alignment horizontal="left"/>
      <protection hidden="1"/>
    </xf>
    <xf numFmtId="0" fontId="49" fillId="38" borderId="0" xfId="0" applyFont="1" applyFill="1" applyAlignment="1" applyProtection="1">
      <alignment horizontal="left"/>
      <protection hidden="1"/>
    </xf>
    <xf numFmtId="0" fontId="38" fillId="31" borderId="10" xfId="0" applyFont="1" applyFill="1" applyBorder="1" applyAlignment="1" applyProtection="1">
      <alignment horizontal="center"/>
    </xf>
    <xf numFmtId="0" fontId="29" fillId="31" borderId="10" xfId="0" applyFont="1" applyFill="1" applyBorder="1" applyAlignment="1" applyProtection="1">
      <alignment horizontal="center"/>
    </xf>
    <xf numFmtId="0" fontId="29" fillId="38" borderId="0" xfId="0" applyFont="1" applyFill="1" applyAlignment="1" applyProtection="1">
      <alignment horizontal="right" vertical="center"/>
    </xf>
    <xf numFmtId="0" fontId="29" fillId="27" borderId="10" xfId="0" applyFont="1" applyFill="1" applyBorder="1" applyAlignment="1" applyProtection="1">
      <alignment horizontal="left" vertical="center"/>
      <protection locked="0"/>
    </xf>
    <xf numFmtId="0" fontId="29" fillId="31" borderId="55" xfId="0" applyFont="1" applyFill="1" applyBorder="1" applyAlignment="1" applyProtection="1">
      <alignment horizontal="center" vertical="center"/>
      <protection hidden="1"/>
    </xf>
    <xf numFmtId="0" fontId="29" fillId="31" borderId="50" xfId="0" applyFont="1" applyFill="1" applyBorder="1" applyAlignment="1" applyProtection="1">
      <alignment horizontal="centerContinuous" vertical="center"/>
      <protection hidden="1"/>
    </xf>
    <xf numFmtId="0" fontId="34" fillId="31" borderId="26" xfId="0" applyFont="1" applyFill="1" applyBorder="1" applyAlignment="1" applyProtection="1">
      <alignment horizontal="centerContinuous" vertical="center"/>
      <protection hidden="1"/>
    </xf>
    <xf numFmtId="0" fontId="34" fillId="31" borderId="27" xfId="0" applyFont="1" applyFill="1" applyBorder="1" applyAlignment="1" applyProtection="1">
      <alignment horizontal="centerContinuous" vertical="center"/>
      <protection hidden="1"/>
    </xf>
    <xf numFmtId="179" fontId="29" fillId="31" borderId="26" xfId="0" applyNumberFormat="1" applyFont="1" applyFill="1" applyBorder="1" applyAlignment="1" applyProtection="1">
      <alignment horizontal="right" vertical="center"/>
      <protection hidden="1"/>
    </xf>
    <xf numFmtId="191" fontId="29" fillId="31" borderId="27" xfId="0" applyNumberFormat="1" applyFont="1" applyFill="1" applyBorder="1" applyAlignment="1" applyProtection="1">
      <alignment horizontal="right" vertical="center"/>
      <protection hidden="1"/>
    </xf>
    <xf numFmtId="0" fontId="29" fillId="31" borderId="26" xfId="0" applyFont="1" applyFill="1" applyBorder="1" applyAlignment="1" applyProtection="1">
      <alignment horizontal="center" vertical="center"/>
    </xf>
    <xf numFmtId="191" fontId="29" fillId="31" borderId="27" xfId="0" applyNumberFormat="1" applyFont="1" applyFill="1" applyBorder="1" applyAlignment="1" applyProtection="1">
      <alignment vertical="center"/>
      <protection hidden="1"/>
    </xf>
    <xf numFmtId="9" fontId="29" fillId="27" borderId="170" xfId="0" applyNumberFormat="1" applyFont="1" applyFill="1" applyBorder="1" applyAlignment="1" applyProtection="1">
      <alignment horizontal="center" vertical="center"/>
      <protection locked="0" hidden="1"/>
    </xf>
    <xf numFmtId="0" fontId="29" fillId="38" borderId="0" xfId="0" applyFont="1" applyFill="1" applyAlignment="1" applyProtection="1">
      <alignment vertical="center"/>
    </xf>
    <xf numFmtId="9" fontId="29" fillId="27" borderId="171" xfId="0" applyNumberFormat="1" applyFont="1" applyFill="1" applyBorder="1" applyAlignment="1" applyProtection="1">
      <alignment horizontal="center" vertical="center"/>
      <protection locked="0" hidden="1"/>
    </xf>
    <xf numFmtId="0" fontId="38" fillId="27" borderId="80" xfId="0" applyFont="1" applyFill="1" applyBorder="1" applyAlignment="1" applyProtection="1">
      <alignment horizontal="left" vertical="center"/>
      <protection hidden="1"/>
    </xf>
    <xf numFmtId="0" fontId="7" fillId="27" borderId="27" xfId="0" applyFont="1" applyFill="1" applyBorder="1" applyAlignment="1">
      <alignment horizontal="left" vertical="center" wrapText="1"/>
    </xf>
    <xf numFmtId="0" fontId="38" fillId="27" borderId="26" xfId="0" applyFont="1" applyFill="1" applyBorder="1" applyAlignment="1" applyProtection="1">
      <alignment horizontal="left" vertical="center"/>
      <protection hidden="1"/>
    </xf>
    <xf numFmtId="179" fontId="29" fillId="31" borderId="27" xfId="0" applyNumberFormat="1"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34" fillId="31" borderId="56" xfId="0" applyFont="1" applyFill="1" applyBorder="1" applyAlignment="1" applyProtection="1">
      <alignment horizontal="centerContinuous" vertical="center"/>
      <protection hidden="1"/>
    </xf>
    <xf numFmtId="9" fontId="29" fillId="27" borderId="172" xfId="0" applyNumberFormat="1" applyFont="1" applyFill="1" applyBorder="1" applyAlignment="1" applyProtection="1">
      <alignment horizontal="center" vertical="center"/>
      <protection locked="0" hidden="1"/>
    </xf>
    <xf numFmtId="0" fontId="27" fillId="0" borderId="55" xfId="0" applyNumberFormat="1" applyFont="1" applyFill="1" applyBorder="1" applyAlignment="1" applyProtection="1">
      <alignment horizontal="center" vertical="center"/>
      <protection hidden="1"/>
    </xf>
    <xf numFmtId="0" fontId="27" fillId="38" borderId="55" xfId="0" applyNumberFormat="1" applyFont="1" applyFill="1" applyBorder="1" applyAlignment="1" applyProtection="1">
      <alignment horizontal="center" vertical="center"/>
      <protection hidden="1"/>
    </xf>
    <xf numFmtId="0" fontId="7" fillId="38" borderId="0" xfId="0" applyFont="1" applyFill="1" applyBorder="1" applyAlignment="1">
      <alignment horizontal="left" vertical="center" wrapText="1"/>
    </xf>
    <xf numFmtId="0" fontId="27" fillId="38" borderId="0" xfId="0" applyFont="1" applyFill="1" applyAlignment="1" applyProtection="1">
      <protection hidden="1"/>
    </xf>
    <xf numFmtId="0" fontId="29" fillId="0" borderId="0" xfId="0" applyFont="1" applyAlignment="1" applyProtection="1"/>
    <xf numFmtId="0" fontId="29" fillId="31" borderId="50" xfId="0" applyFont="1" applyFill="1" applyBorder="1" applyAlignment="1" applyProtection="1">
      <alignment horizontal="right" vertical="center"/>
      <protection hidden="1"/>
    </xf>
    <xf numFmtId="0" fontId="49" fillId="38" borderId="0" xfId="0" applyFont="1" applyFill="1" applyAlignment="1" applyProtection="1">
      <alignment horizontal="left" vertical="center"/>
      <protection hidden="1"/>
    </xf>
    <xf numFmtId="0" fontId="27" fillId="0" borderId="0" xfId="0" applyNumberFormat="1" applyFont="1" applyFill="1" applyBorder="1" applyAlignment="1" applyProtection="1">
      <alignment horizontal="center" vertical="center"/>
      <protection hidden="1"/>
    </xf>
    <xf numFmtId="0" fontId="46" fillId="0" borderId="0" xfId="0" applyFont="1" applyFill="1" applyAlignment="1" applyProtection="1">
      <alignment horizontal="left" vertical="center"/>
      <protection hidden="1"/>
    </xf>
    <xf numFmtId="0" fontId="152" fillId="38" borderId="0" xfId="0" applyFont="1" applyFill="1" applyAlignment="1" applyProtection="1">
      <alignment vertical="center"/>
      <protection hidden="1"/>
    </xf>
    <xf numFmtId="0" fontId="151" fillId="38" borderId="0" xfId="0" applyFont="1" applyFill="1" applyAlignment="1" applyProtection="1">
      <alignment vertical="center"/>
      <protection hidden="1"/>
    </xf>
    <xf numFmtId="0" fontId="46" fillId="38" borderId="0" xfId="0" applyFont="1" applyFill="1" applyBorder="1" applyAlignment="1" applyProtection="1">
      <alignment vertical="center"/>
      <protection hidden="1"/>
    </xf>
    <xf numFmtId="0" fontId="29" fillId="31" borderId="26" xfId="0" applyFont="1" applyFill="1" applyBorder="1" applyAlignment="1" applyProtection="1">
      <alignment horizontal="centerContinuous" vertical="center"/>
      <protection hidden="1"/>
    </xf>
    <xf numFmtId="0" fontId="29" fillId="27" borderId="10" xfId="0" applyFont="1" applyFill="1" applyBorder="1" applyAlignment="1" applyProtection="1">
      <alignment vertical="center"/>
      <protection hidden="1"/>
    </xf>
    <xf numFmtId="0" fontId="29" fillId="27" borderId="51" xfId="0" applyFont="1" applyFill="1" applyBorder="1" applyAlignment="1" applyProtection="1">
      <alignment vertical="center"/>
      <protection hidden="1"/>
    </xf>
    <xf numFmtId="0" fontId="27" fillId="27" borderId="16" xfId="0" applyFont="1" applyFill="1" applyBorder="1" applyAlignment="1" applyProtection="1">
      <alignment horizontal="center" vertical="center"/>
      <protection hidden="1"/>
    </xf>
    <xf numFmtId="0" fontId="29" fillId="38" borderId="0" xfId="0" applyFont="1" applyFill="1" applyAlignment="1" applyProtection="1">
      <alignment horizontal="left" vertical="center"/>
      <protection hidden="1"/>
    </xf>
    <xf numFmtId="0" fontId="29" fillId="31" borderId="58" xfId="0" applyFont="1" applyFill="1" applyBorder="1" applyAlignment="1" applyProtection="1">
      <alignment horizontal="centerContinuous" vertical="center"/>
      <protection hidden="1"/>
    </xf>
    <xf numFmtId="0" fontId="29" fillId="31" borderId="50" xfId="0"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29" fillId="27" borderId="173" xfId="0" applyFont="1" applyFill="1" applyBorder="1" applyAlignment="1" applyProtection="1">
      <alignment horizontal="left" vertical="center"/>
      <protection hidden="1"/>
    </xf>
    <xf numFmtId="0" fontId="29" fillId="27" borderId="87"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7" fillId="0" borderId="0" xfId="0" applyFont="1" applyFill="1" applyBorder="1" applyAlignment="1" applyProtection="1">
      <alignment vertical="center"/>
      <protection hidden="1"/>
    </xf>
    <xf numFmtId="0" fontId="29" fillId="0" borderId="0" xfId="0" applyFont="1" applyFill="1" applyBorder="1" applyAlignment="1" applyProtection="1">
      <alignment horizontal="center" vertical="center"/>
      <protection hidden="1"/>
    </xf>
    <xf numFmtId="0" fontId="29" fillId="38" borderId="0" xfId="0" applyFont="1" applyFill="1" applyAlignment="1" applyProtection="1">
      <alignment vertical="top"/>
      <protection hidden="1"/>
    </xf>
    <xf numFmtId="0" fontId="29" fillId="0" borderId="0" xfId="0" applyFont="1" applyFill="1" applyAlignment="1" applyProtection="1">
      <alignment vertical="center"/>
    </xf>
    <xf numFmtId="0" fontId="29" fillId="38" borderId="53" xfId="0" applyFont="1" applyFill="1" applyBorder="1" applyAlignment="1" applyProtection="1">
      <alignment vertical="center"/>
      <protection hidden="1"/>
    </xf>
    <xf numFmtId="0" fontId="29" fillId="38" borderId="53" xfId="0" applyFont="1" applyFill="1" applyBorder="1" applyAlignment="1" applyProtection="1">
      <alignment horizontal="right" vertical="center"/>
      <protection hidden="1"/>
    </xf>
    <xf numFmtId="0" fontId="28" fillId="0" borderId="0" xfId="0" applyFont="1" applyFill="1" applyBorder="1" applyAlignment="1">
      <alignment vertical="center"/>
    </xf>
    <xf numFmtId="179" fontId="29" fillId="31" borderId="26" xfId="0" applyNumberFormat="1" applyFont="1" applyFill="1" applyBorder="1" applyAlignment="1" applyProtection="1">
      <alignment horizontal="left" vertical="center"/>
      <protection hidden="1"/>
    </xf>
    <xf numFmtId="0" fontId="29" fillId="31" borderId="50" xfId="0" applyFont="1" applyFill="1" applyBorder="1" applyAlignment="1" applyProtection="1">
      <alignment vertical="center"/>
    </xf>
    <xf numFmtId="179" fontId="29" fillId="31" borderId="50" xfId="0" applyNumberFormat="1" applyFont="1" applyFill="1" applyBorder="1" applyAlignment="1" applyProtection="1">
      <alignment horizontal="centerContinuous" vertical="center" wrapText="1"/>
      <protection hidden="1"/>
    </xf>
    <xf numFmtId="0" fontId="29" fillId="31" borderId="27" xfId="0" applyFont="1" applyFill="1" applyBorder="1" applyAlignment="1" applyProtection="1">
      <alignment vertical="center"/>
    </xf>
    <xf numFmtId="0" fontId="29" fillId="31" borderId="153" xfId="0" applyFont="1" applyFill="1" applyBorder="1" applyAlignment="1" applyProtection="1">
      <alignment horizontal="centerContinuous" vertical="center"/>
      <protection hidden="1"/>
    </xf>
    <xf numFmtId="0" fontId="29" fillId="31" borderId="55" xfId="0" applyFont="1" applyFill="1" applyBorder="1" applyAlignment="1" applyProtection="1">
      <alignment horizontal="centerContinuous" vertical="center"/>
      <protection hidden="1"/>
    </xf>
    <xf numFmtId="0" fontId="29" fillId="31" borderId="57" xfId="0" applyFont="1" applyFill="1" applyBorder="1" applyAlignment="1" applyProtection="1">
      <alignment horizontal="centerContinuous" vertical="center"/>
      <protection hidden="1"/>
    </xf>
    <xf numFmtId="0" fontId="29" fillId="31" borderId="10" xfId="0" applyFont="1" applyFill="1" applyBorder="1" applyAlignment="1" applyProtection="1">
      <alignment horizontal="centerContinuous" vertical="center"/>
      <protection hidden="1"/>
    </xf>
    <xf numFmtId="0" fontId="29" fillId="31" borderId="58" xfId="0" applyFont="1" applyFill="1" applyBorder="1" applyAlignment="1" applyProtection="1">
      <alignment horizontal="centerContinuous" vertical="center"/>
      <protection hidden="1"/>
    </xf>
    <xf numFmtId="0" fontId="29" fillId="27" borderId="162" xfId="0" applyFont="1" applyFill="1" applyBorder="1" applyAlignment="1" applyProtection="1">
      <alignment horizontal="left" vertical="center" shrinkToFit="1"/>
      <protection hidden="1"/>
    </xf>
    <xf numFmtId="0" fontId="29" fillId="27" borderId="16" xfId="0" applyFont="1" applyFill="1" applyBorder="1" applyAlignment="1" applyProtection="1">
      <alignment vertical="center" wrapText="1"/>
      <protection hidden="1"/>
    </xf>
    <xf numFmtId="0" fontId="29" fillId="27" borderId="174" xfId="0" applyFont="1" applyFill="1" applyBorder="1" applyAlignment="1" applyProtection="1">
      <alignment vertical="center" wrapText="1"/>
      <protection hidden="1"/>
    </xf>
    <xf numFmtId="0" fontId="29" fillId="27" borderId="175" xfId="0" applyFont="1" applyFill="1" applyBorder="1" applyAlignment="1" applyProtection="1">
      <alignment vertical="center" wrapText="1"/>
      <protection hidden="1"/>
    </xf>
    <xf numFmtId="0" fontId="29" fillId="27" borderId="167" xfId="0" applyFont="1" applyFill="1" applyBorder="1" applyAlignment="1" applyProtection="1">
      <alignment vertical="center"/>
      <protection hidden="1"/>
    </xf>
    <xf numFmtId="0" fontId="29" fillId="27" borderId="169" xfId="0" applyFont="1" applyFill="1" applyBorder="1" applyAlignment="1" applyProtection="1">
      <alignment vertical="center" wrapText="1"/>
      <protection hidden="1"/>
    </xf>
    <xf numFmtId="0" fontId="27" fillId="0" borderId="0" xfId="0" applyFont="1" applyFill="1" applyBorder="1" applyAlignment="1" applyProtection="1">
      <alignment horizontal="center" vertical="center"/>
      <protection hidden="1"/>
    </xf>
    <xf numFmtId="0" fontId="29" fillId="38" borderId="0" xfId="0" applyFont="1" applyFill="1" applyBorder="1" applyAlignment="1" applyProtection="1">
      <alignment vertical="center" wrapText="1"/>
      <protection hidden="1"/>
    </xf>
    <xf numFmtId="0" fontId="27" fillId="38" borderId="0" xfId="0" applyFont="1" applyFill="1" applyBorder="1" applyAlignment="1" applyProtection="1">
      <alignment horizontal="center" vertical="center"/>
      <protection hidden="1"/>
    </xf>
    <xf numFmtId="0" fontId="29" fillId="38" borderId="0" xfId="0" applyFont="1" applyFill="1" applyBorder="1" applyAlignment="1" applyProtection="1">
      <alignment horizontal="left" vertical="center" wrapText="1"/>
      <protection hidden="1"/>
    </xf>
    <xf numFmtId="0" fontId="28" fillId="38" borderId="0" xfId="0" applyFont="1" applyFill="1" applyBorder="1" applyAlignment="1">
      <alignment horizontal="left" vertical="center"/>
    </xf>
    <xf numFmtId="0" fontId="29" fillId="27" borderId="176" xfId="0" applyFont="1" applyFill="1" applyBorder="1" applyAlignment="1" applyProtection="1">
      <alignment vertical="center"/>
      <protection hidden="1"/>
    </xf>
    <xf numFmtId="0" fontId="29" fillId="27" borderId="13" xfId="0" applyFont="1" applyFill="1" applyBorder="1" applyAlignment="1" applyProtection="1">
      <alignment vertical="center" wrapText="1"/>
      <protection hidden="1"/>
    </xf>
    <xf numFmtId="179" fontId="29" fillId="31" borderId="27" xfId="0" applyNumberFormat="1" applyFont="1" applyFill="1" applyBorder="1" applyAlignment="1" applyProtection="1">
      <alignment horizontal="centerContinuous" vertical="center" wrapText="1"/>
      <protection hidden="1"/>
    </xf>
    <xf numFmtId="0" fontId="29" fillId="27" borderId="10" xfId="0" applyFont="1" applyFill="1" applyBorder="1" applyAlignment="1" applyProtection="1">
      <alignment horizontal="center" vertical="center"/>
      <protection hidden="1"/>
    </xf>
    <xf numFmtId="0" fontId="27" fillId="27" borderId="11" xfId="0" applyFont="1" applyFill="1" applyBorder="1" applyAlignment="1" applyProtection="1">
      <alignment horizontal="center" vertical="center"/>
      <protection hidden="1"/>
    </xf>
    <xf numFmtId="0" fontId="29" fillId="27" borderId="166" xfId="0" applyFont="1" applyFill="1" applyBorder="1" applyAlignment="1" applyProtection="1">
      <alignment horizontal="left" vertical="center" wrapText="1"/>
      <protection hidden="1"/>
    </xf>
    <xf numFmtId="179" fontId="29" fillId="31" borderId="26" xfId="0" applyNumberFormat="1" applyFont="1" applyFill="1" applyBorder="1" applyAlignment="1" applyProtection="1">
      <alignment horizontal="centerContinuous" vertical="center" wrapText="1"/>
      <protection hidden="1"/>
    </xf>
    <xf numFmtId="0" fontId="29" fillId="31" borderId="177" xfId="0" applyFont="1" applyFill="1" applyBorder="1" applyAlignment="1" applyProtection="1">
      <alignment horizontal="left" vertical="center"/>
      <protection hidden="1"/>
    </xf>
    <xf numFmtId="0" fontId="29" fillId="31" borderId="54" xfId="0" applyFont="1" applyFill="1" applyBorder="1" applyAlignment="1" applyProtection="1">
      <alignment horizontal="left" vertical="center"/>
      <protection hidden="1"/>
    </xf>
    <xf numFmtId="0" fontId="29" fillId="31" borderId="178" xfId="0" applyFont="1" applyFill="1" applyBorder="1" applyAlignment="1" applyProtection="1">
      <alignment horizontal="left" vertical="center"/>
      <protection hidden="1"/>
    </xf>
    <xf numFmtId="0" fontId="29" fillId="31" borderId="58" xfId="0" applyFont="1" applyFill="1" applyBorder="1" applyAlignment="1" applyProtection="1">
      <alignment horizontal="left" vertical="center"/>
      <protection hidden="1"/>
    </xf>
    <xf numFmtId="0" fontId="29" fillId="27" borderId="174" xfId="0" applyFont="1" applyFill="1" applyBorder="1" applyAlignment="1" applyProtection="1">
      <alignment horizontal="left" vertical="center"/>
      <protection hidden="1"/>
    </xf>
    <xf numFmtId="0" fontId="29" fillId="27" borderId="179" xfId="0" applyFont="1" applyFill="1" applyBorder="1" applyAlignment="1" applyProtection="1">
      <alignment horizontal="left" vertical="center"/>
      <protection hidden="1"/>
    </xf>
    <xf numFmtId="0" fontId="29" fillId="27" borderId="180" xfId="0" applyFont="1" applyFill="1" applyBorder="1" applyAlignment="1" applyProtection="1">
      <alignment horizontal="left" vertical="center"/>
      <protection hidden="1"/>
    </xf>
    <xf numFmtId="0" fontId="38" fillId="27" borderId="181" xfId="0" applyFont="1" applyFill="1" applyBorder="1" applyAlignment="1" applyProtection="1">
      <alignment horizontal="left" vertical="center"/>
      <protection hidden="1"/>
    </xf>
    <xf numFmtId="0" fontId="38" fillId="27" borderId="14" xfId="0" applyFont="1" applyFill="1" applyBorder="1" applyAlignment="1" applyProtection="1">
      <alignment horizontal="left" vertical="center"/>
      <protection hidden="1"/>
    </xf>
    <xf numFmtId="0" fontId="29" fillId="0" borderId="0" xfId="0" applyFont="1" applyFill="1" applyBorder="1" applyAlignment="1" applyProtection="1">
      <alignment vertical="center"/>
      <protection hidden="1"/>
    </xf>
    <xf numFmtId="0" fontId="29" fillId="38" borderId="0" xfId="0" applyFont="1" applyFill="1" applyBorder="1" applyAlignment="1" applyProtection="1">
      <alignment vertical="center"/>
      <protection hidden="1"/>
    </xf>
    <xf numFmtId="0" fontId="29" fillId="27" borderId="12" xfId="0" applyFont="1" applyFill="1" applyBorder="1" applyAlignment="1" applyProtection="1">
      <alignment vertical="center"/>
      <protection hidden="1"/>
    </xf>
    <xf numFmtId="0" fontId="29" fillId="27" borderId="13" xfId="0" applyFont="1" applyFill="1" applyBorder="1" applyAlignment="1" applyProtection="1">
      <alignment vertical="center"/>
      <protection hidden="1"/>
    </xf>
    <xf numFmtId="0" fontId="29" fillId="0" borderId="0" xfId="0" applyFont="1" applyFill="1" applyBorder="1" applyAlignment="1" applyProtection="1">
      <alignment horizontal="left" vertical="center" wrapText="1"/>
      <protection hidden="1"/>
    </xf>
    <xf numFmtId="0" fontId="49" fillId="0" borderId="0" xfId="29" applyFont="1" applyFill="1" applyAlignment="1" applyProtection="1">
      <alignment horizontal="left" vertical="center"/>
      <protection hidden="1"/>
    </xf>
    <xf numFmtId="0" fontId="29" fillId="27" borderId="162" xfId="0" applyFont="1" applyFill="1" applyBorder="1" applyAlignment="1" applyProtection="1">
      <alignment vertical="center" shrinkToFit="1"/>
      <protection hidden="1"/>
    </xf>
    <xf numFmtId="0" fontId="29" fillId="27" borderId="52" xfId="0" applyFont="1" applyFill="1" applyBorder="1" applyAlignment="1" applyProtection="1">
      <alignment vertical="center"/>
      <protection hidden="1"/>
    </xf>
    <xf numFmtId="0" fontId="29" fillId="38" borderId="0" xfId="0" applyFont="1" applyFill="1" applyBorder="1" applyAlignment="1" applyProtection="1">
      <alignment horizontal="left" vertical="center"/>
      <protection hidden="1"/>
    </xf>
    <xf numFmtId="0" fontId="29" fillId="38" borderId="0" xfId="0" applyFont="1" applyFill="1" applyBorder="1" applyAlignment="1" applyProtection="1">
      <alignment horizontal="center" vertical="center"/>
      <protection hidden="1"/>
    </xf>
    <xf numFmtId="0" fontId="151" fillId="38" borderId="0" xfId="0" applyFont="1" applyFill="1" applyAlignment="1" applyProtection="1">
      <alignment vertical="center"/>
    </xf>
    <xf numFmtId="0" fontId="7" fillId="0" borderId="0" xfId="0" applyFont="1" applyFill="1" applyAlignment="1" applyProtection="1">
      <alignment vertical="center"/>
      <protection hidden="1"/>
    </xf>
    <xf numFmtId="0" fontId="7" fillId="38" borderId="0" xfId="0" applyFont="1" applyFill="1" applyAlignment="1" applyProtection="1">
      <alignment vertical="center"/>
      <protection hidden="1"/>
    </xf>
    <xf numFmtId="0" fontId="0" fillId="43" borderId="0" xfId="0" applyFill="1">
      <alignment vertical="center"/>
    </xf>
    <xf numFmtId="0" fontId="27" fillId="38" borderId="0" xfId="0" applyFont="1" applyFill="1" applyProtection="1">
      <alignment vertical="center"/>
      <protection hidden="1"/>
    </xf>
    <xf numFmtId="0" fontId="29" fillId="38" borderId="0" xfId="0" applyFont="1" applyFill="1" applyProtection="1">
      <alignment vertical="center"/>
      <protection hidden="1"/>
    </xf>
    <xf numFmtId="0" fontId="29" fillId="27" borderId="26" xfId="0" applyFont="1" applyFill="1" applyBorder="1" applyProtection="1">
      <alignment vertical="center"/>
      <protection hidden="1"/>
    </xf>
    <xf numFmtId="0" fontId="29" fillId="27" borderId="50" xfId="0" applyFont="1" applyFill="1" applyBorder="1" applyProtection="1">
      <alignment vertical="center"/>
      <protection hidden="1"/>
    </xf>
    <xf numFmtId="0" fontId="29" fillId="27" borderId="27" xfId="0" applyFont="1" applyFill="1" applyBorder="1" applyProtection="1">
      <alignment vertical="center"/>
      <protection hidden="1"/>
    </xf>
    <xf numFmtId="0" fontId="151" fillId="0" borderId="0" xfId="0" applyFont="1" applyFill="1" applyAlignment="1" applyProtection="1">
      <alignment vertical="center"/>
    </xf>
    <xf numFmtId="0" fontId="29" fillId="27" borderId="51" xfId="0" applyFont="1" applyFill="1" applyBorder="1" applyAlignment="1" applyProtection="1">
      <alignment vertical="center" wrapText="1"/>
      <protection hidden="1"/>
    </xf>
    <xf numFmtId="0" fontId="29" fillId="27" borderId="16" xfId="0" applyFont="1" applyFill="1" applyBorder="1" applyAlignment="1" applyProtection="1">
      <alignment horizontal="left" vertical="center" wrapText="1"/>
      <protection hidden="1"/>
    </xf>
    <xf numFmtId="0" fontId="29" fillId="27" borderId="175" xfId="0" applyFont="1" applyFill="1" applyBorder="1" applyAlignment="1" applyProtection="1">
      <alignment vertical="center" shrinkToFit="1"/>
      <protection hidden="1"/>
    </xf>
    <xf numFmtId="0" fontId="29" fillId="27" borderId="11" xfId="0" applyFont="1" applyFill="1" applyBorder="1" applyAlignment="1">
      <alignment vertical="center" wrapText="1"/>
    </xf>
    <xf numFmtId="0" fontId="29" fillId="27" borderId="175" xfId="0" applyFont="1" applyFill="1" applyBorder="1" applyAlignment="1" applyProtection="1">
      <alignment vertical="center" wrapText="1"/>
      <protection hidden="1"/>
    </xf>
    <xf numFmtId="0" fontId="29" fillId="27" borderId="166" xfId="0" applyFont="1" applyFill="1" applyBorder="1" applyAlignment="1" applyProtection="1">
      <alignment vertical="center" shrinkToFit="1"/>
      <protection hidden="1"/>
    </xf>
    <xf numFmtId="0" fontId="7" fillId="38" borderId="0" xfId="0" applyFont="1" applyFill="1" applyAlignment="1" applyProtection="1">
      <alignment vertical="center"/>
    </xf>
    <xf numFmtId="0" fontId="152" fillId="38" borderId="57" xfId="0" applyFont="1" applyFill="1" applyBorder="1" applyAlignment="1" applyProtection="1">
      <alignment vertical="center"/>
      <protection hidden="1"/>
    </xf>
    <xf numFmtId="0" fontId="46" fillId="38" borderId="57" xfId="0" applyFont="1" applyFill="1" applyBorder="1" applyAlignment="1" applyProtection="1">
      <alignment vertical="center"/>
      <protection hidden="1"/>
    </xf>
    <xf numFmtId="0" fontId="38" fillId="31" borderId="26" xfId="0" applyFont="1" applyFill="1" applyBorder="1" applyAlignment="1" applyProtection="1">
      <alignment horizontal="right" vertical="center"/>
      <protection hidden="1"/>
    </xf>
    <xf numFmtId="179" fontId="29" fillId="31" borderId="10" xfId="0" applyNumberFormat="1" applyFont="1" applyFill="1" applyBorder="1" applyAlignment="1" applyProtection="1">
      <alignment horizontal="centerContinuous" vertical="center"/>
      <protection hidden="1"/>
    </xf>
    <xf numFmtId="0" fontId="29" fillId="31" borderId="80" xfId="0" applyFont="1" applyFill="1" applyBorder="1" applyAlignment="1" applyProtection="1">
      <alignment horizontal="centerContinuous" vertical="center"/>
      <protection hidden="1"/>
    </xf>
    <xf numFmtId="0" fontId="27" fillId="42" borderId="161" xfId="0" applyFont="1" applyFill="1" applyBorder="1" applyAlignment="1" applyProtection="1">
      <alignment horizontal="center" vertical="center"/>
      <protection hidden="1"/>
    </xf>
    <xf numFmtId="0" fontId="27" fillId="42" borderId="165" xfId="0" applyFont="1" applyFill="1" applyBorder="1" applyAlignment="1" applyProtection="1">
      <alignment horizontal="center" vertical="center"/>
      <protection hidden="1"/>
    </xf>
    <xf numFmtId="0" fontId="27" fillId="42" borderId="166" xfId="0" applyFont="1" applyFill="1" applyBorder="1" applyAlignment="1" applyProtection="1">
      <alignment horizontal="center" vertical="center"/>
      <protection hidden="1"/>
    </xf>
    <xf numFmtId="0" fontId="29" fillId="44" borderId="26" xfId="0" applyFont="1" applyFill="1" applyBorder="1" applyAlignment="1" applyProtection="1">
      <alignment horizontal="centerContinuous" vertical="center"/>
      <protection hidden="1"/>
    </xf>
    <xf numFmtId="0" fontId="29" fillId="44" borderId="50" xfId="0" applyFont="1" applyFill="1" applyBorder="1" applyAlignment="1" applyProtection="1">
      <alignment horizontal="centerContinuous" vertical="center"/>
      <protection hidden="1"/>
    </xf>
    <xf numFmtId="0" fontId="29" fillId="0" borderId="0" xfId="0" applyFont="1" applyBorder="1" applyAlignment="1" applyProtection="1">
      <alignment vertical="center"/>
      <protection hidden="1"/>
    </xf>
    <xf numFmtId="0" fontId="29" fillId="0" borderId="0" xfId="0" applyFont="1" applyProtection="1">
      <alignment vertical="center"/>
    </xf>
    <xf numFmtId="0" fontId="29" fillId="0" borderId="0" xfId="0" applyFont="1" applyFill="1" applyProtection="1">
      <alignment vertical="center"/>
    </xf>
    <xf numFmtId="0" fontId="150" fillId="0" borderId="0" xfId="0" applyFont="1" applyFill="1" applyProtection="1">
      <alignment vertical="center"/>
      <protection hidden="1"/>
    </xf>
    <xf numFmtId="0" fontId="27" fillId="0" borderId="0" xfId="0" applyFont="1" applyFill="1" applyProtection="1">
      <alignment vertical="center"/>
      <protection hidden="1"/>
    </xf>
    <xf numFmtId="0" fontId="46" fillId="0" borderId="0" xfId="0" applyFont="1" applyFill="1" applyProtection="1">
      <alignment vertical="center"/>
      <protection hidden="1"/>
    </xf>
    <xf numFmtId="0" fontId="152" fillId="0" borderId="0" xfId="0" applyFont="1" applyFill="1" applyAlignment="1" applyProtection="1">
      <alignment vertical="center"/>
      <protection hidden="1"/>
    </xf>
    <xf numFmtId="0" fontId="152" fillId="0" borderId="0" xfId="0" applyFont="1" applyFill="1" applyProtection="1">
      <alignment vertical="center"/>
      <protection hidden="1"/>
    </xf>
    <xf numFmtId="0" fontId="46" fillId="0" borderId="0" xfId="0" applyFont="1" applyFill="1" applyBorder="1" applyAlignment="1" applyProtection="1">
      <alignment vertical="center"/>
      <protection hidden="1"/>
    </xf>
    <xf numFmtId="0" fontId="0" fillId="25" borderId="10" xfId="0" applyFill="1" applyBorder="1">
      <alignment vertical="center"/>
    </xf>
    <xf numFmtId="0" fontId="0" fillId="0" borderId="10" xfId="0" applyFill="1" applyBorder="1">
      <alignment vertical="center"/>
    </xf>
    <xf numFmtId="0" fontId="27" fillId="27" borderId="173" xfId="0" applyFont="1" applyFill="1" applyBorder="1" applyAlignment="1" applyProtection="1">
      <alignment horizontal="center" vertical="center"/>
      <protection hidden="1"/>
    </xf>
    <xf numFmtId="0" fontId="27" fillId="27" borderId="167" xfId="0" applyFont="1" applyFill="1" applyBorder="1" applyAlignment="1" applyProtection="1">
      <alignment horizontal="center" vertical="center"/>
      <protection hidden="1"/>
    </xf>
    <xf numFmtId="0" fontId="29" fillId="31" borderId="56" xfId="0" applyFont="1" applyFill="1" applyBorder="1" applyAlignment="1" applyProtection="1">
      <alignment horizontal="centerContinuous" vertical="center"/>
      <protection hidden="1"/>
    </xf>
    <xf numFmtId="0" fontId="46" fillId="38" borderId="0" xfId="0" applyFont="1" applyFill="1" applyProtection="1">
      <alignment vertical="center"/>
      <protection hidden="1"/>
    </xf>
    <xf numFmtId="0" fontId="46" fillId="38" borderId="0" xfId="0" applyFont="1" applyFill="1" applyAlignment="1" applyProtection="1">
      <alignment vertical="center"/>
      <protection hidden="1"/>
    </xf>
    <xf numFmtId="0" fontId="46" fillId="38" borderId="0" xfId="0" applyFont="1" applyFill="1" applyBorder="1" applyProtection="1">
      <alignment vertical="center"/>
      <protection hidden="1"/>
    </xf>
    <xf numFmtId="0" fontId="29" fillId="27" borderId="166" xfId="0" applyFont="1" applyFill="1" applyBorder="1" applyAlignment="1">
      <alignment vertical="center" wrapText="1"/>
    </xf>
    <xf numFmtId="0" fontId="29" fillId="0" borderId="17" xfId="0" applyFont="1" applyFill="1" applyBorder="1" applyAlignment="1" applyProtection="1">
      <alignment horizontal="center" vertical="center"/>
      <protection hidden="1"/>
    </xf>
    <xf numFmtId="0" fontId="126" fillId="38" borderId="0" xfId="0" applyFont="1" applyFill="1" applyAlignment="1" applyProtection="1">
      <alignment vertical="center"/>
      <protection hidden="1"/>
    </xf>
    <xf numFmtId="0" fontId="29" fillId="38" borderId="0" xfId="0" applyFont="1" applyFill="1" applyAlignment="1" applyProtection="1">
      <alignment horizontal="center" vertical="center"/>
    </xf>
    <xf numFmtId="0" fontId="29" fillId="38" borderId="57" xfId="0" applyFont="1" applyFill="1" applyBorder="1" applyAlignment="1" applyProtection="1">
      <alignment horizontal="left" wrapText="1"/>
      <protection hidden="1"/>
    </xf>
    <xf numFmtId="0" fontId="27" fillId="31" borderId="92" xfId="0" applyFont="1" applyFill="1" applyBorder="1" applyAlignment="1" applyProtection="1">
      <alignment horizontal="center" vertical="center"/>
      <protection hidden="1"/>
    </xf>
    <xf numFmtId="0" fontId="29" fillId="27" borderId="50" xfId="0" applyFont="1" applyFill="1" applyBorder="1" applyAlignment="1" applyProtection="1">
      <alignment horizontal="centerContinuous" vertical="center"/>
      <protection hidden="1"/>
    </xf>
    <xf numFmtId="0" fontId="29" fillId="27" borderId="10" xfId="0" applyFont="1" applyFill="1" applyBorder="1" applyAlignment="1" applyProtection="1">
      <alignment horizontal="centerContinuous" vertical="center"/>
      <protection hidden="1"/>
    </xf>
    <xf numFmtId="0" fontId="7" fillId="38" borderId="0" xfId="0" applyFont="1" applyFill="1">
      <alignment vertical="center"/>
    </xf>
    <xf numFmtId="191" fontId="29" fillId="31" borderId="54" xfId="0" applyNumberFormat="1" applyFont="1" applyFill="1" applyBorder="1" applyAlignment="1" applyProtection="1">
      <alignment horizontal="center" vertical="center"/>
      <protection hidden="1"/>
    </xf>
    <xf numFmtId="0" fontId="29" fillId="31" borderId="52" xfId="0" applyFont="1" applyFill="1" applyBorder="1" applyAlignment="1" applyProtection="1">
      <alignment horizontal="centerContinuous" vertical="center"/>
      <protection hidden="1"/>
    </xf>
    <xf numFmtId="0" fontId="29" fillId="31" borderId="54" xfId="0" applyFont="1" applyFill="1" applyBorder="1" applyAlignment="1" applyProtection="1">
      <alignment horizontal="centerContinuous" vertical="center"/>
      <protection hidden="1"/>
    </xf>
    <xf numFmtId="0" fontId="0" fillId="28" borderId="0" xfId="0" applyFill="1">
      <alignment vertical="center"/>
    </xf>
    <xf numFmtId="0" fontId="29" fillId="31" borderId="56" xfId="0" quotePrefix="1" applyFont="1" applyFill="1" applyBorder="1" applyAlignment="1" applyProtection="1">
      <alignment horizontal="centerContinuous" vertical="center"/>
      <protection hidden="1"/>
    </xf>
    <xf numFmtId="0" fontId="49" fillId="0" borderId="0" xfId="0" applyFont="1" applyFill="1" applyAlignment="1" applyProtection="1">
      <alignment horizontal="center" vertical="center"/>
      <protection hidden="1"/>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4"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8" xfId="0" applyFont="1" applyFill="1" applyBorder="1" applyAlignment="1" applyProtection="1">
      <alignment horizontal="left" vertical="center"/>
      <protection hidden="1"/>
    </xf>
    <xf numFmtId="0" fontId="24" fillId="38" borderId="0" xfId="0" applyFont="1" applyFill="1" applyAlignment="1" applyProtection="1">
      <alignment vertical="center"/>
      <protection hidden="1"/>
    </xf>
    <xf numFmtId="0" fontId="29" fillId="38" borderId="0" xfId="0" applyFont="1" applyFill="1" applyAlignment="1" applyProtection="1">
      <alignment horizontal="left" vertical="top"/>
      <protection hidden="1"/>
    </xf>
    <xf numFmtId="0" fontId="29" fillId="27" borderId="27" xfId="0" applyFont="1" applyFill="1" applyBorder="1" applyAlignment="1" applyProtection="1">
      <alignment horizontal="centerContinuous" vertical="center"/>
      <protection hidden="1"/>
    </xf>
    <xf numFmtId="0" fontId="29" fillId="27" borderId="182" xfId="0" applyFont="1" applyFill="1" applyBorder="1" applyAlignment="1" applyProtection="1">
      <alignment vertical="center"/>
      <protection hidden="1"/>
    </xf>
    <xf numFmtId="0" fontId="29" fillId="27" borderId="163" xfId="0" applyFont="1" applyFill="1" applyBorder="1" applyAlignment="1" applyProtection="1">
      <alignment vertical="center"/>
      <protection hidden="1"/>
    </xf>
    <xf numFmtId="0" fontId="29" fillId="27" borderId="164" xfId="0" applyFont="1" applyFill="1" applyBorder="1" applyAlignment="1" applyProtection="1">
      <alignment vertical="center"/>
      <protection hidden="1"/>
    </xf>
    <xf numFmtId="0" fontId="29" fillId="27" borderId="183" xfId="0" applyFont="1" applyFill="1" applyBorder="1" applyAlignment="1" applyProtection="1">
      <alignment vertical="center"/>
      <protection hidden="1"/>
    </xf>
    <xf numFmtId="0" fontId="29" fillId="27" borderId="13" xfId="0" applyFont="1" applyFill="1" applyBorder="1" applyAlignment="1" applyProtection="1">
      <alignment vertical="center"/>
      <protection hidden="1"/>
    </xf>
    <xf numFmtId="0" fontId="29" fillId="27" borderId="14" xfId="0" applyFont="1" applyFill="1" applyBorder="1" applyAlignment="1" applyProtection="1">
      <alignment vertical="center"/>
      <protection hidden="1"/>
    </xf>
    <xf numFmtId="0" fontId="29" fillId="27" borderId="184" xfId="0" applyFont="1" applyFill="1" applyBorder="1" applyAlignment="1" applyProtection="1">
      <alignment vertical="center"/>
      <protection hidden="1"/>
    </xf>
    <xf numFmtId="0" fontId="29" fillId="27" borderId="169" xfId="0" applyFont="1" applyFill="1" applyBorder="1" applyAlignment="1" applyProtection="1">
      <alignment vertical="center"/>
      <protection hidden="1"/>
    </xf>
    <xf numFmtId="0" fontId="29" fillId="27" borderId="168" xfId="0" applyFont="1" applyFill="1" applyBorder="1" applyAlignment="1" applyProtection="1">
      <alignment vertical="center"/>
      <protection hidden="1"/>
    </xf>
    <xf numFmtId="0" fontId="151" fillId="27" borderId="56" xfId="0" applyFont="1" applyFill="1" applyBorder="1" applyAlignment="1" applyProtection="1">
      <alignment horizontal="center" vertical="center"/>
      <protection hidden="1"/>
    </xf>
    <xf numFmtId="0" fontId="46" fillId="27" borderId="50" xfId="0" applyFont="1" applyFill="1" applyBorder="1" applyAlignment="1" applyProtection="1">
      <alignment horizontal="center" vertical="center" wrapText="1"/>
      <protection hidden="1"/>
    </xf>
    <xf numFmtId="0" fontId="29" fillId="27" borderId="50" xfId="0" applyFont="1" applyFill="1" applyBorder="1" applyAlignment="1" applyProtection="1">
      <alignment horizontal="center" vertical="center"/>
      <protection hidden="1"/>
    </xf>
    <xf numFmtId="0" fontId="27" fillId="27" borderId="50" xfId="0" applyFont="1" applyFill="1" applyBorder="1" applyAlignment="1" applyProtection="1">
      <alignment horizontal="center" vertical="center" wrapText="1"/>
      <protection hidden="1"/>
    </xf>
    <xf numFmtId="0" fontId="27" fillId="27" borderId="27" xfId="0" applyFont="1" applyFill="1" applyBorder="1" applyAlignment="1" applyProtection="1">
      <alignment horizontal="center" vertical="center" wrapText="1"/>
      <protection hidden="1"/>
    </xf>
    <xf numFmtId="0" fontId="29" fillId="27" borderId="51" xfId="0" applyFont="1" applyFill="1" applyBorder="1" applyAlignment="1" applyProtection="1">
      <alignment horizontal="center" vertical="center"/>
      <protection hidden="1"/>
    </xf>
    <xf numFmtId="0" fontId="24" fillId="39" borderId="170" xfId="0" applyFont="1" applyFill="1" applyBorder="1" applyAlignment="1" applyProtection="1">
      <alignment horizontal="center" vertical="center"/>
      <protection locked="0" hidden="1"/>
    </xf>
    <xf numFmtId="0" fontId="7" fillId="27" borderId="16" xfId="0" applyFont="1" applyFill="1" applyBorder="1" applyAlignment="1" applyProtection="1">
      <alignment horizontal="center" vertical="center"/>
      <protection hidden="1"/>
    </xf>
    <xf numFmtId="0" fontId="24" fillId="39" borderId="171" xfId="0" applyFont="1" applyFill="1" applyBorder="1" applyAlignment="1" applyProtection="1">
      <alignment horizontal="center" vertical="center"/>
      <protection locked="0" hidden="1"/>
    </xf>
    <xf numFmtId="0" fontId="7" fillId="27" borderId="11" xfId="0" applyFont="1" applyFill="1" applyBorder="1" applyAlignment="1" applyProtection="1">
      <alignment horizontal="center" vertical="center"/>
      <protection hidden="1"/>
    </xf>
    <xf numFmtId="0" fontId="24" fillId="39" borderId="172" xfId="0" applyFont="1" applyFill="1" applyBorder="1" applyAlignment="1" applyProtection="1">
      <alignment horizontal="center" vertical="center"/>
      <protection locked="0" hidden="1"/>
    </xf>
    <xf numFmtId="0" fontId="7" fillId="27" borderId="175" xfId="0" applyFont="1" applyFill="1" applyBorder="1" applyAlignment="1" applyProtection="1">
      <alignment horizontal="center" vertical="center"/>
      <protection hidden="1"/>
    </xf>
    <xf numFmtId="178" fontId="27" fillId="27" borderId="27" xfId="0" applyNumberFormat="1" applyFont="1" applyFill="1" applyBorder="1" applyAlignment="1" applyProtection="1">
      <alignment horizontal="center" vertical="center" wrapText="1"/>
      <protection hidden="1"/>
    </xf>
    <xf numFmtId="0" fontId="24" fillId="27" borderId="170" xfId="0" applyFont="1" applyFill="1" applyBorder="1" applyAlignment="1" applyProtection="1">
      <alignment horizontal="center" vertical="center"/>
      <protection locked="0" hidden="1"/>
    </xf>
    <xf numFmtId="0" fontId="24" fillId="27" borderId="171" xfId="0" applyFont="1" applyFill="1" applyBorder="1" applyAlignment="1" applyProtection="1">
      <alignment horizontal="center" vertical="center"/>
      <protection locked="0" hidden="1"/>
    </xf>
    <xf numFmtId="0" fontId="24" fillId="27" borderId="172" xfId="0" applyFont="1" applyFill="1" applyBorder="1" applyAlignment="1" applyProtection="1">
      <alignment horizontal="center" vertical="center"/>
      <protection locked="0" hidden="1"/>
    </xf>
    <xf numFmtId="0" fontId="29" fillId="27" borderId="183" xfId="0" applyFont="1" applyFill="1" applyBorder="1" applyAlignment="1" applyProtection="1">
      <alignment horizontal="left" vertical="center"/>
      <protection hidden="1"/>
    </xf>
    <xf numFmtId="0" fontId="29" fillId="27" borderId="13" xfId="0" applyFont="1" applyFill="1" applyBorder="1" applyAlignment="1">
      <alignment vertical="center"/>
    </xf>
    <xf numFmtId="0" fontId="46" fillId="27" borderId="50" xfId="0" applyFont="1" applyFill="1" applyBorder="1" applyAlignment="1" applyProtection="1">
      <alignment vertical="center" wrapText="1"/>
      <protection hidden="1"/>
    </xf>
    <xf numFmtId="0" fontId="0" fillId="25" borderId="0" xfId="0" applyFill="1">
      <alignment vertical="center"/>
    </xf>
    <xf numFmtId="0" fontId="29" fillId="27" borderId="10" xfId="0" quotePrefix="1" applyFont="1" applyFill="1" applyBorder="1" applyAlignment="1" applyProtection="1">
      <alignment horizontal="left" vertical="center"/>
      <protection hidden="1"/>
    </xf>
    <xf numFmtId="0" fontId="29" fillId="27" borderId="185" xfId="0" applyFont="1" applyFill="1" applyBorder="1" applyAlignment="1" applyProtection="1">
      <alignment horizontal="centerContinuous" vertical="center"/>
      <protection hidden="1"/>
    </xf>
    <xf numFmtId="0" fontId="29" fillId="27" borderId="118" xfId="0" applyFont="1" applyFill="1" applyBorder="1" applyAlignment="1" applyProtection="1">
      <alignment horizontal="centerContinuous" vertical="center"/>
      <protection hidden="1"/>
    </xf>
    <xf numFmtId="0" fontId="29" fillId="27" borderId="120" xfId="0" applyFont="1" applyFill="1" applyBorder="1" applyAlignment="1" applyProtection="1">
      <alignment horizontal="centerContinuous" vertical="center"/>
      <protection hidden="1"/>
    </xf>
    <xf numFmtId="0" fontId="34" fillId="29" borderId="0" xfId="0" applyFont="1" applyFill="1" applyBorder="1" applyAlignment="1" applyProtection="1">
      <alignment vertical="center" wrapText="1"/>
      <protection hidden="1"/>
    </xf>
    <xf numFmtId="0" fontId="7" fillId="38" borderId="57" xfId="0" applyFont="1" applyFill="1" applyBorder="1">
      <alignment vertical="center"/>
    </xf>
    <xf numFmtId="0" fontId="49" fillId="38" borderId="57" xfId="0" applyFont="1" applyFill="1" applyBorder="1" applyAlignment="1" applyProtection="1">
      <alignment horizontal="left" vertical="center"/>
      <protection hidden="1"/>
    </xf>
    <xf numFmtId="0" fontId="24" fillId="27" borderId="92" xfId="0" applyFont="1" applyFill="1" applyBorder="1" applyAlignment="1" applyProtection="1">
      <alignment horizontal="center" vertical="center"/>
      <protection locked="0" hidden="1"/>
    </xf>
    <xf numFmtId="0" fontId="7" fillId="27" borderId="51" xfId="0" quotePrefix="1" applyFont="1" applyFill="1" applyBorder="1" applyAlignment="1" applyProtection="1">
      <alignment horizontal="center" vertical="center"/>
      <protection hidden="1"/>
    </xf>
    <xf numFmtId="0" fontId="7" fillId="27" borderId="11" xfId="0" quotePrefix="1" applyFont="1" applyFill="1" applyBorder="1" applyAlignment="1" applyProtection="1">
      <alignment horizontal="center" vertical="center"/>
      <protection hidden="1"/>
    </xf>
    <xf numFmtId="0" fontId="7" fillId="27" borderId="166" xfId="0" applyFont="1" applyFill="1" applyBorder="1" applyAlignment="1" applyProtection="1">
      <alignment horizontal="center" vertical="center"/>
      <protection hidden="1"/>
    </xf>
    <xf numFmtId="0" fontId="24" fillId="27" borderId="171" xfId="0" applyFont="1" applyFill="1" applyBorder="1" applyAlignment="1" applyProtection="1">
      <alignment horizontal="center" vertical="center"/>
      <protection locked="0" hidden="1"/>
    </xf>
    <xf numFmtId="0" fontId="34" fillId="38" borderId="0" xfId="0" applyFont="1" applyFill="1" applyAlignment="1" applyProtection="1">
      <alignment vertical="center"/>
      <protection hidden="1"/>
    </xf>
    <xf numFmtId="0" fontId="152" fillId="38" borderId="0" xfId="0" applyFont="1" applyFill="1" applyProtection="1">
      <alignment vertical="center"/>
      <protection hidden="1"/>
    </xf>
    <xf numFmtId="0" fontId="49" fillId="0" borderId="0" xfId="29" applyFont="1" applyFill="1" applyAlignment="1" applyProtection="1">
      <alignment horizontal="left"/>
      <protection hidden="1"/>
    </xf>
    <xf numFmtId="0" fontId="46" fillId="38" borderId="0" xfId="0" applyFont="1" applyFill="1" applyAlignment="1" applyProtection="1">
      <alignment horizontal="left" vertical="center"/>
      <protection hidden="1"/>
    </xf>
    <xf numFmtId="0" fontId="29" fillId="27" borderId="163" xfId="0" applyFont="1" applyFill="1" applyBorder="1" applyAlignment="1" applyProtection="1">
      <alignment vertical="center" wrapText="1"/>
      <protection hidden="1"/>
    </xf>
    <xf numFmtId="0" fontId="29" fillId="38" borderId="0" xfId="0" applyFont="1" applyFill="1" applyBorder="1" applyProtection="1">
      <alignment vertical="center"/>
      <protection hidden="1"/>
    </xf>
    <xf numFmtId="0" fontId="29" fillId="0" borderId="0" xfId="0" applyFont="1" applyFill="1" applyBorder="1" applyAlignment="1" applyProtection="1">
      <alignment vertical="center"/>
      <protection hidden="1"/>
    </xf>
    <xf numFmtId="0" fontId="29" fillId="38" borderId="0" xfId="0" applyFont="1" applyFill="1" applyBorder="1" applyProtection="1">
      <alignment vertical="center"/>
    </xf>
    <xf numFmtId="0" fontId="29" fillId="31" borderId="57" xfId="0" applyFont="1" applyFill="1" applyBorder="1" applyAlignment="1" applyProtection="1">
      <alignment horizontal="centerContinuous" vertical="top"/>
      <protection hidden="1"/>
    </xf>
    <xf numFmtId="0" fontId="29" fillId="31" borderId="27" xfId="0" applyFont="1" applyFill="1" applyBorder="1" applyAlignment="1" applyProtection="1">
      <alignment horizontal="centerContinuous" vertical="top"/>
      <protection hidden="1"/>
    </xf>
    <xf numFmtId="0" fontId="29" fillId="0" borderId="0" xfId="0" applyFont="1" applyFill="1" applyBorder="1" applyAlignment="1" applyProtection="1">
      <protection hidden="1"/>
    </xf>
    <xf numFmtId="0" fontId="27" fillId="38" borderId="0" xfId="0" applyFont="1" applyFill="1" applyBorder="1" applyAlignment="1" applyProtection="1">
      <protection hidden="1"/>
    </xf>
    <xf numFmtId="0" fontId="29" fillId="38" borderId="0" xfId="0" applyFont="1" applyFill="1" applyBorder="1" applyAlignment="1" applyProtection="1">
      <protection hidden="1"/>
    </xf>
    <xf numFmtId="0" fontId="29" fillId="38" borderId="0" xfId="0" applyFont="1" applyFill="1" applyBorder="1" applyAlignment="1" applyProtection="1">
      <protection hidden="1"/>
    </xf>
    <xf numFmtId="0" fontId="29" fillId="0" borderId="0" xfId="0" applyFont="1" applyFill="1" applyBorder="1" applyProtection="1">
      <alignment vertical="center"/>
      <protection hidden="1"/>
    </xf>
    <xf numFmtId="0" fontId="29" fillId="38" borderId="0" xfId="0" applyFont="1" applyFill="1" applyBorder="1" applyAlignment="1" applyProtection="1">
      <alignment vertical="center"/>
      <protection hidden="1"/>
    </xf>
    <xf numFmtId="0" fontId="29" fillId="27" borderId="26" xfId="0" applyFont="1" applyFill="1" applyBorder="1" applyAlignment="1" applyProtection="1">
      <alignment horizontal="centerContinuous" vertical="top" wrapText="1"/>
      <protection hidden="1"/>
    </xf>
    <xf numFmtId="191" fontId="29" fillId="27" borderId="27" xfId="0" applyNumberFormat="1" applyFont="1" applyFill="1" applyBorder="1" applyAlignment="1" applyProtection="1">
      <alignment horizontal="centerContinuous" vertical="center"/>
      <protection hidden="1"/>
    </xf>
    <xf numFmtId="0" fontId="29" fillId="27" borderId="10" xfId="0" applyNumberFormat="1" applyFont="1" applyFill="1" applyBorder="1" applyAlignment="1" applyProtection="1">
      <alignment horizontal="centerContinuous" vertical="center"/>
      <protection hidden="1"/>
    </xf>
    <xf numFmtId="191" fontId="29" fillId="27" borderId="26" xfId="0" applyNumberFormat="1" applyFont="1" applyFill="1" applyBorder="1" applyAlignment="1" applyProtection="1">
      <alignment horizontal="center" vertical="center"/>
      <protection hidden="1"/>
    </xf>
    <xf numFmtId="191" fontId="29" fillId="27" borderId="27" xfId="0" applyNumberFormat="1" applyFont="1" applyFill="1" applyBorder="1" applyAlignment="1" applyProtection="1">
      <alignment horizontal="center" vertical="center"/>
      <protection hidden="1"/>
    </xf>
    <xf numFmtId="0" fontId="29" fillId="27" borderId="51" xfId="0" applyNumberFormat="1" applyFont="1" applyFill="1" applyBorder="1" applyAlignment="1" applyProtection="1">
      <alignment horizontal="centerContinuous" vertical="center"/>
      <protection hidden="1"/>
    </xf>
    <xf numFmtId="0" fontId="27" fillId="27" borderId="27" xfId="0" applyFont="1" applyFill="1" applyBorder="1" applyAlignment="1" applyProtection="1">
      <alignment horizontal="centerContinuous" vertical="center"/>
      <protection hidden="1"/>
    </xf>
    <xf numFmtId="0" fontId="27" fillId="27" borderId="170" xfId="0" applyFont="1" applyFill="1" applyBorder="1" applyAlignment="1" applyProtection="1">
      <alignment horizontal="center" vertical="center"/>
      <protection locked="0" hidden="1"/>
    </xf>
    <xf numFmtId="0" fontId="29" fillId="27" borderId="163" xfId="0" applyFont="1" applyFill="1" applyBorder="1" applyAlignment="1" applyProtection="1">
      <alignment horizontal="left" vertical="center" wrapText="1"/>
      <protection hidden="1"/>
    </xf>
    <xf numFmtId="0" fontId="29" fillId="27" borderId="164" xfId="0" applyFont="1" applyFill="1" applyBorder="1" applyAlignment="1" applyProtection="1">
      <alignment horizontal="left" vertical="center" wrapText="1"/>
      <protection hidden="1"/>
    </xf>
    <xf numFmtId="0" fontId="27" fillId="27" borderId="171"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9" fillId="38" borderId="0" xfId="0" applyFont="1" applyFill="1" applyBorder="1" applyAlignment="1" applyProtection="1">
      <alignment horizontal="center" vertical="center"/>
      <protection hidden="1"/>
    </xf>
    <xf numFmtId="0" fontId="38" fillId="38" borderId="0" xfId="0" applyFont="1" applyFill="1" applyBorder="1" applyAlignment="1" applyProtection="1">
      <alignment horizontal="left" vertical="top" wrapText="1"/>
      <protection hidden="1"/>
    </xf>
    <xf numFmtId="0" fontId="29" fillId="27" borderId="10" xfId="0" applyFont="1" applyFill="1" applyBorder="1" applyAlignment="1" applyProtection="1">
      <alignment horizontal="centerContinuous" vertical="center"/>
      <protection hidden="1"/>
    </xf>
    <xf numFmtId="191" fontId="29" fillId="27" borderId="50" xfId="0" applyNumberFormat="1" applyFont="1" applyFill="1" applyBorder="1" applyAlignment="1" applyProtection="1">
      <alignment horizontal="center" vertical="center"/>
      <protection hidden="1"/>
    </xf>
    <xf numFmtId="0" fontId="27" fillId="27" borderId="172" xfId="0" applyFont="1" applyFill="1" applyBorder="1" applyAlignment="1" applyProtection="1">
      <alignment horizontal="center" vertical="center"/>
      <protection locked="0" hidden="1"/>
    </xf>
    <xf numFmtId="0" fontId="29" fillId="0" borderId="0" xfId="0" applyFont="1" applyFill="1" applyAlignment="1" applyProtection="1">
      <protection hidden="1"/>
    </xf>
    <xf numFmtId="0" fontId="29" fillId="27" borderId="10" xfId="0" applyFont="1" applyFill="1" applyBorder="1" applyAlignment="1" applyProtection="1">
      <alignment horizontal="centerContinuous" vertical="top"/>
      <protection hidden="1"/>
    </xf>
    <xf numFmtId="0" fontId="29" fillId="27" borderId="27" xfId="0" applyFont="1" applyFill="1" applyBorder="1" applyAlignment="1" applyProtection="1">
      <alignment horizontal="centerContinuous" vertical="top" wrapText="1"/>
      <protection hidden="1"/>
    </xf>
    <xf numFmtId="0" fontId="29" fillId="27" borderId="51" xfId="0" applyNumberFormat="1" applyFont="1" applyFill="1" applyBorder="1" applyAlignment="1" applyProtection="1">
      <alignment horizontal="centerContinuous" vertical="top"/>
      <protection hidden="1"/>
    </xf>
    <xf numFmtId="0" fontId="27" fillId="27" borderId="26" xfId="0" applyFont="1" applyFill="1" applyBorder="1" applyAlignment="1" applyProtection="1">
      <alignment horizontal="centerContinuous" vertical="top"/>
      <protection hidden="1"/>
    </xf>
    <xf numFmtId="0" fontId="27" fillId="27" borderId="27" xfId="0" applyFont="1" applyFill="1" applyBorder="1" applyAlignment="1" applyProtection="1">
      <alignment horizontal="centerContinuous" vertical="top"/>
      <protection hidden="1"/>
    </xf>
    <xf numFmtId="0" fontId="29" fillId="27" borderId="182" xfId="0" applyFont="1" applyFill="1" applyBorder="1" applyAlignment="1" applyProtection="1">
      <alignment horizontal="left" vertical="center"/>
      <protection hidden="1"/>
    </xf>
    <xf numFmtId="0" fontId="38" fillId="38" borderId="0" xfId="0" applyFont="1" applyFill="1" applyBorder="1" applyAlignment="1" applyProtection="1">
      <alignment vertical="top" wrapText="1"/>
      <protection hidden="1"/>
    </xf>
    <xf numFmtId="0" fontId="29" fillId="31" borderId="50" xfId="0" applyFont="1" applyFill="1" applyBorder="1" applyAlignment="1" applyProtection="1">
      <alignment horizontal="centerContinuous" vertical="top"/>
      <protection hidden="1"/>
    </xf>
    <xf numFmtId="0" fontId="29" fillId="27" borderId="163" xfId="0" applyFont="1" applyFill="1" applyBorder="1" applyAlignment="1" applyProtection="1">
      <alignment horizontal="left" vertical="top"/>
      <protection hidden="1"/>
    </xf>
    <xf numFmtId="0" fontId="29" fillId="27" borderId="13" xfId="0" applyFont="1" applyFill="1" applyBorder="1" applyAlignment="1" applyProtection="1">
      <alignment horizontal="left" vertical="top"/>
      <protection hidden="1"/>
    </xf>
    <xf numFmtId="0" fontId="29" fillId="27" borderId="169" xfId="0" applyFont="1" applyFill="1" applyBorder="1" applyAlignment="1" applyProtection="1">
      <alignment horizontal="left" vertical="top"/>
      <protection hidden="1"/>
    </xf>
    <xf numFmtId="0" fontId="29" fillId="31" borderId="57" xfId="0" applyFont="1" applyFill="1" applyBorder="1" applyAlignment="1" applyProtection="1">
      <alignment horizontal="centerContinuous" vertical="top"/>
      <protection hidden="1"/>
    </xf>
    <xf numFmtId="0" fontId="29" fillId="27" borderId="163" xfId="0" applyFont="1" applyFill="1" applyBorder="1" applyAlignment="1">
      <alignment vertical="center"/>
    </xf>
    <xf numFmtId="0" fontId="29" fillId="27" borderId="164" xfId="0" applyFont="1" applyFill="1" applyBorder="1" applyAlignment="1">
      <alignment vertical="center"/>
    </xf>
    <xf numFmtId="0" fontId="29" fillId="27" borderId="14" xfId="0" applyFont="1" applyFill="1" applyBorder="1" applyAlignment="1">
      <alignment vertical="center"/>
    </xf>
    <xf numFmtId="0" fontId="7" fillId="38" borderId="0" xfId="0" applyFont="1" applyFill="1" applyBorder="1" applyAlignment="1" applyProtection="1">
      <alignment vertical="top" wrapText="1"/>
      <protection hidden="1"/>
    </xf>
    <xf numFmtId="0" fontId="29" fillId="27" borderId="164" xfId="0" applyFont="1" applyFill="1" applyBorder="1" applyAlignment="1" applyProtection="1">
      <alignment horizontal="left" vertical="top"/>
      <protection hidden="1"/>
    </xf>
    <xf numFmtId="0" fontId="29" fillId="27" borderId="14" xfId="0" applyFont="1" applyFill="1" applyBorder="1" applyAlignment="1" applyProtection="1">
      <alignment horizontal="left" vertical="top"/>
      <protection hidden="1"/>
    </xf>
    <xf numFmtId="0" fontId="29" fillId="27" borderId="168" xfId="0" applyFont="1" applyFill="1" applyBorder="1" applyAlignment="1" applyProtection="1">
      <alignment horizontal="left" vertical="top"/>
      <protection hidden="1"/>
    </xf>
    <xf numFmtId="0" fontId="38" fillId="38" borderId="0" xfId="0" applyFont="1" applyFill="1" applyAlignment="1" applyProtection="1">
      <alignment horizontal="right" vertical="center"/>
      <protection hidden="1"/>
    </xf>
    <xf numFmtId="0" fontId="38" fillId="38" borderId="57" xfId="0" applyFont="1" applyFill="1" applyBorder="1" applyAlignment="1" applyProtection="1">
      <alignment horizontal="left" vertical="center"/>
      <protection hidden="1"/>
    </xf>
    <xf numFmtId="0" fontId="38" fillId="38" borderId="53" xfId="0" applyFont="1" applyFill="1" applyBorder="1" applyAlignment="1" applyProtection="1">
      <alignment horizontal="left" vertical="center"/>
      <protection hidden="1"/>
    </xf>
    <xf numFmtId="0" fontId="38" fillId="38" borderId="0" xfId="0" applyFont="1" applyFill="1" applyAlignment="1" applyProtection="1">
      <alignment horizontal="left" vertical="center"/>
      <protection hidden="1"/>
    </xf>
    <xf numFmtId="0" fontId="38" fillId="38" borderId="0" xfId="0" applyFont="1" applyFill="1" applyAlignment="1" applyProtection="1">
      <alignment horizontal="centerContinuous" vertical="center"/>
      <protection hidden="1"/>
    </xf>
    <xf numFmtId="0" fontId="49" fillId="0" borderId="0" xfId="0" applyFont="1" applyFill="1" applyBorder="1" applyAlignment="1" applyProtection="1">
      <alignment horizontal="left" vertical="center"/>
      <protection hidden="1"/>
    </xf>
    <xf numFmtId="0" fontId="38" fillId="38" borderId="0" xfId="0" applyFont="1" applyFill="1" applyBorder="1" applyAlignment="1" applyProtection="1">
      <alignment vertical="top" wrapText="1"/>
      <protection hidden="1"/>
    </xf>
    <xf numFmtId="0" fontId="95" fillId="0" borderId="0" xfId="0" applyFont="1" applyFill="1" applyProtection="1">
      <alignment vertical="center"/>
      <protection hidden="1"/>
    </xf>
    <xf numFmtId="0" fontId="29" fillId="0" borderId="0" xfId="0" applyFont="1" applyProtection="1">
      <alignment vertical="center"/>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top"/>
      <protection hidden="1"/>
    </xf>
    <xf numFmtId="0" fontId="29" fillId="0" borderId="0" xfId="0" applyFont="1" applyFill="1" applyAlignment="1" applyProtection="1">
      <alignment horizontal="left" vertical="top"/>
      <protection hidden="1"/>
    </xf>
    <xf numFmtId="0" fontId="73" fillId="0" borderId="0" xfId="0" applyFont="1" applyAlignment="1" applyProtection="1">
      <alignment horizontal="left" vertical="center"/>
      <protection hidden="1"/>
    </xf>
    <xf numFmtId="0" fontId="149" fillId="0" borderId="0" xfId="0" applyFont="1" applyFill="1" applyProtection="1">
      <alignment vertical="center"/>
      <protection hidden="1"/>
    </xf>
    <xf numFmtId="0" fontId="150" fillId="0" borderId="0" xfId="0" applyFont="1" applyProtection="1">
      <alignment vertical="center"/>
      <protection hidden="1"/>
    </xf>
    <xf numFmtId="0" fontId="27" fillId="0" borderId="0" xfId="0" applyFont="1" applyFill="1" applyAlignment="1" applyProtection="1">
      <alignment horizontal="center" vertical="center"/>
      <protection hidden="1"/>
    </xf>
    <xf numFmtId="0" fontId="150" fillId="0" borderId="0" xfId="0" applyFont="1" applyFill="1" applyAlignment="1" applyProtection="1">
      <alignment horizontal="left" vertical="top"/>
      <protection hidden="1"/>
    </xf>
    <xf numFmtId="0" fontId="151" fillId="0" borderId="0" xfId="0" applyFont="1" applyFill="1" applyProtection="1">
      <alignment vertical="center"/>
      <protection hidden="1"/>
    </xf>
    <xf numFmtId="0" fontId="29" fillId="31" borderId="58" xfId="0" applyFont="1" applyFill="1" applyBorder="1" applyAlignment="1" applyProtection="1">
      <alignment horizontal="center" vertical="center"/>
      <protection hidden="1"/>
    </xf>
    <xf numFmtId="0" fontId="126" fillId="0" borderId="0" xfId="0" applyFont="1" applyFill="1" applyAlignment="1" applyProtection="1">
      <alignment vertical="center"/>
      <protection hidden="1"/>
    </xf>
    <xf numFmtId="0" fontId="24" fillId="0" borderId="0" xfId="0" applyFont="1" applyFill="1" applyAlignment="1" applyProtection="1">
      <alignment vertical="center"/>
      <protection hidden="1"/>
    </xf>
    <xf numFmtId="0" fontId="29" fillId="27" borderId="51" xfId="0" applyFont="1" applyFill="1" applyBorder="1" applyAlignment="1" applyProtection="1">
      <alignment horizontal="center" vertical="center" wrapText="1"/>
      <protection hidden="1"/>
    </xf>
    <xf numFmtId="0" fontId="29" fillId="27" borderId="27" xfId="0" applyFont="1" applyFill="1" applyBorder="1" applyAlignment="1" applyProtection="1">
      <alignment horizontal="center" vertical="center"/>
      <protection hidden="1"/>
    </xf>
    <xf numFmtId="0" fontId="7" fillId="27" borderId="16" xfId="0" quotePrefix="1" applyFont="1" applyFill="1" applyBorder="1" applyAlignment="1" applyProtection="1">
      <alignment horizontal="center" vertical="center" wrapText="1"/>
      <protection hidden="1"/>
    </xf>
    <xf numFmtId="0" fontId="29" fillId="27" borderId="13" xfId="0" applyFont="1" applyFill="1" applyBorder="1" applyAlignment="1" applyProtection="1">
      <alignment horizontal="left" vertical="center" wrapText="1"/>
      <protection hidden="1"/>
    </xf>
    <xf numFmtId="0" fontId="29" fillId="27" borderId="14" xfId="0" applyFont="1" applyFill="1" applyBorder="1" applyAlignment="1" applyProtection="1">
      <alignment horizontal="left" vertical="center" wrapText="1"/>
      <protection hidden="1"/>
    </xf>
    <xf numFmtId="0" fontId="7" fillId="27" borderId="14" xfId="0" quotePrefix="1" applyFont="1" applyFill="1" applyBorder="1" applyAlignment="1" applyProtection="1">
      <alignment horizontal="center" vertical="center" wrapText="1"/>
      <protection hidden="1"/>
    </xf>
    <xf numFmtId="0" fontId="29" fillId="27" borderId="174"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wrapText="1"/>
      <protection hidden="1"/>
    </xf>
    <xf numFmtId="0" fontId="29" fillId="27" borderId="180" xfId="0" applyFont="1" applyFill="1" applyBorder="1" applyAlignment="1" applyProtection="1">
      <alignment horizontal="left" vertical="center" wrapText="1"/>
      <protection hidden="1"/>
    </xf>
    <xf numFmtId="0" fontId="29" fillId="27" borderId="169" xfId="0" applyFont="1" applyFill="1" applyBorder="1" applyAlignment="1" applyProtection="1">
      <alignment horizontal="left" vertical="center" wrapText="1"/>
      <protection hidden="1"/>
    </xf>
    <xf numFmtId="0" fontId="29" fillId="27" borderId="168" xfId="0" applyFont="1" applyFill="1" applyBorder="1" applyAlignment="1" applyProtection="1">
      <alignment horizontal="left" vertical="center" wrapText="1"/>
      <protection hidden="1"/>
    </xf>
    <xf numFmtId="0" fontId="29" fillId="0" borderId="62" xfId="0" applyFont="1" applyBorder="1" applyAlignment="1" applyProtection="1">
      <alignment horizontal="center" vertical="center"/>
    </xf>
    <xf numFmtId="0" fontId="24" fillId="27" borderId="170" xfId="0" applyFont="1" applyFill="1" applyBorder="1" applyAlignment="1" applyProtection="1">
      <alignment horizontal="center" vertical="center"/>
      <protection locked="0" hidden="1"/>
    </xf>
    <xf numFmtId="0" fontId="24" fillId="27" borderId="171" xfId="0" applyFont="1" applyFill="1" applyBorder="1" applyAlignment="1" applyProtection="1">
      <alignment horizontal="center" vertical="center"/>
      <protection locked="0" hidden="1"/>
    </xf>
    <xf numFmtId="0" fontId="7" fillId="27" borderId="14" xfId="0" applyFont="1" applyFill="1" applyBorder="1" applyAlignment="1" applyProtection="1">
      <alignment horizontal="center" vertical="center" wrapText="1"/>
      <protection hidden="1"/>
    </xf>
    <xf numFmtId="0" fontId="29" fillId="27" borderId="174" xfId="0" applyFont="1" applyFill="1" applyBorder="1" applyAlignment="1" applyProtection="1">
      <alignment horizontal="left" vertical="center"/>
      <protection hidden="1"/>
    </xf>
    <xf numFmtId="0" fontId="7" fillId="27" borderId="175" xfId="0" applyFont="1" applyFill="1" applyBorder="1" applyAlignment="1" applyProtection="1">
      <alignment horizontal="center" vertical="center" wrapText="1"/>
      <protection hidden="1"/>
    </xf>
    <xf numFmtId="0" fontId="151" fillId="0" borderId="0" xfId="0" applyFont="1" applyFill="1" applyAlignment="1" applyProtection="1">
      <alignment horizontal="left" vertical="top"/>
      <protection hidden="1"/>
    </xf>
    <xf numFmtId="0" fontId="7" fillId="27" borderId="16" xfId="0" applyFont="1" applyFill="1" applyBorder="1" applyAlignment="1" applyProtection="1">
      <alignment horizontal="center" vertical="center" wrapText="1"/>
      <protection hidden="1"/>
    </xf>
    <xf numFmtId="0" fontId="7" fillId="27" borderId="15" xfId="0"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wrapText="1"/>
      <protection hidden="1"/>
    </xf>
    <xf numFmtId="176" fontId="7" fillId="27" borderId="15" xfId="0" applyNumberFormat="1"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protection hidden="1"/>
    </xf>
    <xf numFmtId="0" fontId="7" fillId="27" borderId="11" xfId="0" applyFont="1" applyFill="1" applyBorder="1" applyAlignment="1">
      <alignment horizontal="center" vertical="center" wrapText="1"/>
    </xf>
    <xf numFmtId="0" fontId="7" fillId="27" borderId="166" xfId="0" applyFont="1" applyFill="1" applyBorder="1" applyAlignment="1">
      <alignment horizontal="center" vertical="center" wrapText="1"/>
    </xf>
    <xf numFmtId="0" fontId="49" fillId="0" borderId="0" xfId="0" applyFont="1" applyFill="1" applyAlignment="1">
      <alignment horizontal="left" vertical="center"/>
    </xf>
    <xf numFmtId="0" fontId="29" fillId="0" borderId="0" xfId="0" applyFont="1" applyFill="1">
      <alignment vertical="center"/>
    </xf>
    <xf numFmtId="0" fontId="29" fillId="0" borderId="0" xfId="0" applyFont="1" applyFill="1" applyAlignment="1">
      <alignment vertical="center"/>
    </xf>
    <xf numFmtId="0" fontId="27" fillId="0" borderId="0" xfId="0" applyFont="1" applyFill="1" applyAlignment="1" applyProtection="1">
      <alignment horizontal="right" vertical="center"/>
      <protection hidden="1"/>
    </xf>
    <xf numFmtId="0" fontId="49" fillId="0" borderId="0" xfId="0" applyFont="1" applyAlignment="1">
      <alignment horizontal="left" vertical="center"/>
    </xf>
    <xf numFmtId="0" fontId="151" fillId="0" borderId="0" xfId="0" applyFont="1" applyFill="1">
      <alignment vertical="center"/>
    </xf>
    <xf numFmtId="0" fontId="29" fillId="31" borderId="50" xfId="0" applyFont="1" applyFill="1" applyBorder="1" applyAlignment="1">
      <alignment horizontal="centerContinuous" vertical="center"/>
    </xf>
    <xf numFmtId="0" fontId="29" fillId="31" borderId="55" xfId="0" applyFont="1" applyFill="1" applyBorder="1">
      <alignment vertical="center"/>
    </xf>
    <xf numFmtId="0" fontId="29" fillId="31" borderId="50" xfId="0" applyFont="1" applyFill="1" applyBorder="1" applyAlignment="1" applyProtection="1">
      <alignment horizontal="left" vertical="center"/>
      <protection hidden="1"/>
    </xf>
    <xf numFmtId="0" fontId="29" fillId="31" borderId="56" xfId="0" applyFont="1" applyFill="1" applyBorder="1" applyAlignment="1" applyProtection="1">
      <alignment horizontal="left" vertical="center"/>
      <protection hidden="1"/>
    </xf>
    <xf numFmtId="0" fontId="29" fillId="31" borderId="0" xfId="0" applyFont="1" applyFill="1" applyAlignment="1">
      <alignment vertical="center"/>
    </xf>
    <xf numFmtId="0" fontId="27" fillId="27" borderId="173" xfId="0" applyFont="1" applyFill="1" applyBorder="1" applyAlignment="1" applyProtection="1">
      <alignment horizontal="centerContinuous" vertical="center"/>
      <protection hidden="1"/>
    </xf>
    <xf numFmtId="0" fontId="27" fillId="27" borderId="12" xfId="0" applyFont="1" applyFill="1" applyBorder="1" applyAlignment="1" applyProtection="1">
      <alignment horizontal="centerContinuous" vertical="center"/>
      <protection hidden="1"/>
    </xf>
    <xf numFmtId="0" fontId="27" fillId="27" borderId="56" xfId="0" applyFont="1" applyFill="1" applyBorder="1" applyAlignment="1" applyProtection="1">
      <alignment horizontal="centerContinuous" vertical="center"/>
      <protection hidden="1"/>
    </xf>
    <xf numFmtId="0" fontId="24" fillId="0" borderId="0" xfId="0" applyFont="1" applyFill="1" applyAlignment="1" applyProtection="1">
      <alignment horizontal="left" vertical="center"/>
      <protection hidden="1"/>
    </xf>
    <xf numFmtId="0" fontId="27" fillId="0" borderId="0" xfId="0" applyFont="1" applyFill="1" applyAlignment="1" applyProtection="1">
      <alignment horizontal="left" vertical="center"/>
      <protection hidden="1"/>
    </xf>
    <xf numFmtId="0" fontId="29" fillId="27" borderId="50" xfId="0" applyFont="1" applyFill="1" applyBorder="1" applyAlignment="1" applyProtection="1">
      <alignment horizontal="left" vertical="center"/>
      <protection hidden="1"/>
    </xf>
    <xf numFmtId="0" fontId="29" fillId="31" borderId="53" xfId="0" applyFont="1" applyFill="1" applyBorder="1" applyAlignment="1" applyProtection="1">
      <alignment horizontal="centerContinuous" vertical="center"/>
      <protection hidden="1"/>
    </xf>
    <xf numFmtId="0" fontId="27" fillId="0" borderId="0" xfId="0" applyFont="1">
      <alignment vertical="center"/>
    </xf>
    <xf numFmtId="0" fontId="29" fillId="29" borderId="0" xfId="0" applyFont="1" applyFill="1" applyBorder="1" applyAlignment="1" applyProtection="1">
      <alignment vertical="center"/>
    </xf>
    <xf numFmtId="0" fontId="29" fillId="0" borderId="0" xfId="0" applyFont="1" applyFill="1" applyAlignment="1" applyProtection="1">
      <alignment horizontal="right" vertical="center"/>
      <protection hidden="1"/>
    </xf>
    <xf numFmtId="0" fontId="24" fillId="0" borderId="0" xfId="0" applyFont="1" applyFill="1">
      <alignment vertical="center"/>
    </xf>
    <xf numFmtId="176" fontId="29" fillId="31" borderId="26" xfId="0" applyNumberFormat="1" applyFont="1" applyFill="1" applyBorder="1" applyAlignment="1" applyProtection="1">
      <alignment horizontal="centerContinuous" vertical="center"/>
      <protection hidden="1"/>
    </xf>
    <xf numFmtId="176" fontId="29" fillId="31" borderId="53" xfId="0" applyNumberFormat="1" applyFont="1" applyFill="1" applyBorder="1" applyAlignment="1" applyProtection="1">
      <alignment horizontal="centerContinuous" vertical="center"/>
      <protection hidden="1"/>
    </xf>
    <xf numFmtId="186" fontId="27" fillId="27" borderId="144" xfId="35" applyNumberFormat="1" applyFont="1" applyFill="1" applyBorder="1" applyAlignment="1" applyProtection="1">
      <alignment horizontal="center" vertical="center"/>
      <protection locked="0"/>
    </xf>
    <xf numFmtId="0" fontId="34" fillId="27" borderId="10" xfId="0" applyNumberFormat="1" applyFont="1" applyFill="1" applyBorder="1" applyAlignment="1" applyProtection="1">
      <alignment horizontal="center" vertical="center"/>
      <protection hidden="1"/>
    </xf>
    <xf numFmtId="0" fontId="29" fillId="27" borderId="51" xfId="0" applyFont="1" applyFill="1" applyBorder="1" applyProtection="1">
      <alignment vertical="center"/>
      <protection hidden="1"/>
    </xf>
    <xf numFmtId="0" fontId="29" fillId="27" borderId="26"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protection hidden="1"/>
    </xf>
    <xf numFmtId="0" fontId="29" fillId="27" borderId="27" xfId="0" applyFont="1" applyFill="1" applyBorder="1" applyAlignment="1" applyProtection="1">
      <alignment horizontal="center"/>
      <protection hidden="1"/>
    </xf>
    <xf numFmtId="0" fontId="29" fillId="27" borderId="16" xfId="0" applyFont="1" applyFill="1" applyBorder="1" applyAlignment="1" applyProtection="1">
      <alignment horizontal="center" vertical="center"/>
      <protection hidden="1"/>
    </xf>
    <xf numFmtId="0" fontId="29" fillId="27" borderId="11" xfId="0" applyFont="1" applyFill="1" applyBorder="1" applyAlignment="1" applyProtection="1">
      <alignment horizontal="center" vertical="center"/>
      <protection hidden="1"/>
    </xf>
    <xf numFmtId="0" fontId="29" fillId="27" borderId="55" xfId="0" applyFont="1" applyFill="1" applyBorder="1" applyAlignment="1" applyProtection="1">
      <alignment horizontal="center" vertical="center"/>
      <protection hidden="1"/>
    </xf>
    <xf numFmtId="0" fontId="27" fillId="27" borderId="172" xfId="0" applyFont="1" applyFill="1" applyBorder="1" applyAlignment="1" applyProtection="1">
      <alignment horizontal="center" vertical="center"/>
      <protection locked="0"/>
    </xf>
    <xf numFmtId="0" fontId="29" fillId="27" borderId="56" xfId="0" applyFont="1" applyFill="1" applyBorder="1" applyAlignment="1" applyProtection="1">
      <alignment horizontal="left" vertical="center"/>
      <protection hidden="1"/>
    </xf>
    <xf numFmtId="0" fontId="49" fillId="0" borderId="0" xfId="0" applyFont="1" applyAlignment="1">
      <alignment horizontal="right" vertical="center"/>
    </xf>
    <xf numFmtId="0" fontId="27" fillId="31" borderId="10" xfId="0" applyFont="1" applyFill="1" applyBorder="1" applyAlignment="1" applyProtection="1">
      <alignment horizontal="centerContinuous" vertical="center"/>
      <protection hidden="1"/>
    </xf>
    <xf numFmtId="0" fontId="27" fillId="27" borderId="55" xfId="0" applyFont="1" applyFill="1" applyBorder="1" applyAlignment="1" applyProtection="1">
      <alignment horizontal="center" vertical="center"/>
      <protection hidden="1"/>
    </xf>
    <xf numFmtId="0" fontId="7" fillId="0" borderId="0" xfId="0" applyFont="1" applyFill="1">
      <alignment vertical="center"/>
    </xf>
    <xf numFmtId="177" fontId="29" fillId="27" borderId="87" xfId="0" applyNumberFormat="1" applyFont="1" applyFill="1" applyBorder="1" applyAlignment="1" applyProtection="1">
      <alignment horizontal="left" vertical="center"/>
      <protection hidden="1"/>
    </xf>
    <xf numFmtId="0" fontId="27" fillId="27" borderId="165" xfId="0" applyFont="1" applyFill="1" applyBorder="1" applyAlignment="1" applyProtection="1">
      <alignment horizontal="centerContinuous" vertical="center"/>
      <protection hidden="1"/>
    </xf>
    <xf numFmtId="0" fontId="27" fillId="27" borderId="11" xfId="0" applyFont="1" applyFill="1" applyBorder="1" applyAlignment="1" applyProtection="1">
      <alignment horizontal="centerContinuous" vertical="center"/>
      <protection hidden="1"/>
    </xf>
    <xf numFmtId="0" fontId="27" fillId="27" borderId="55" xfId="0" applyFont="1" applyFill="1" applyBorder="1" applyAlignment="1" applyProtection="1">
      <alignment horizontal="centerContinuous" vertical="center"/>
      <protection hidden="1"/>
    </xf>
    <xf numFmtId="0" fontId="29" fillId="31" borderId="53" xfId="0" applyFont="1" applyFill="1" applyBorder="1" applyAlignment="1" applyProtection="1">
      <alignment horizontal="centerContinuous" vertical="center"/>
      <protection hidden="1"/>
    </xf>
    <xf numFmtId="0" fontId="29" fillId="27" borderId="26" xfId="0" applyFont="1" applyFill="1" applyBorder="1" applyAlignment="1">
      <alignment horizontal="center" vertical="center"/>
    </xf>
    <xf numFmtId="0" fontId="29" fillId="27" borderId="50" xfId="0" applyFont="1" applyFill="1" applyBorder="1" applyAlignment="1">
      <alignment horizontal="center" vertical="center"/>
    </xf>
    <xf numFmtId="0" fontId="29" fillId="27" borderId="27" xfId="0" applyFont="1" applyFill="1" applyBorder="1" applyAlignment="1">
      <alignment horizontal="center" vertical="center"/>
    </xf>
    <xf numFmtId="0" fontId="29" fillId="27" borderId="26" xfId="0" applyFont="1" applyFill="1" applyBorder="1" applyAlignment="1">
      <alignment horizontal="centerContinuous" vertical="center"/>
    </xf>
    <xf numFmtId="0" fontId="29" fillId="27" borderId="27" xfId="0" applyFont="1" applyFill="1" applyBorder="1" applyAlignment="1">
      <alignment horizontal="centerContinuous" vertical="center"/>
    </xf>
    <xf numFmtId="0" fontId="29" fillId="27" borderId="10" xfId="0" applyFont="1" applyFill="1" applyBorder="1" applyAlignment="1">
      <alignment horizontal="center" vertical="center" wrapText="1"/>
    </xf>
    <xf numFmtId="0" fontId="29" fillId="27" borderId="26" xfId="0" applyFont="1" applyFill="1" applyBorder="1" applyAlignment="1">
      <alignment horizontal="left" vertical="center"/>
    </xf>
    <xf numFmtId="0" fontId="29" fillId="27" borderId="50" xfId="0" applyFont="1" applyFill="1" applyBorder="1" applyAlignment="1">
      <alignment horizontal="left" vertical="center"/>
    </xf>
    <xf numFmtId="0" fontId="29" fillId="27" borderId="27" xfId="0" applyFont="1" applyFill="1" applyBorder="1" applyAlignment="1">
      <alignment horizontal="left" vertical="center"/>
    </xf>
    <xf numFmtId="0" fontId="29" fillId="27" borderId="55" xfId="0" applyFont="1" applyFill="1" applyBorder="1" applyAlignment="1" applyProtection="1">
      <alignment vertical="center"/>
      <protection hidden="1"/>
    </xf>
    <xf numFmtId="0" fontId="7" fillId="0" borderId="57"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0" fillId="0" borderId="17" xfId="0" applyBorder="1">
      <alignment vertical="center"/>
    </xf>
    <xf numFmtId="0" fontId="0" fillId="0" borderId="0" xfId="0" applyBorder="1">
      <alignment vertical="center"/>
    </xf>
    <xf numFmtId="0" fontId="126" fillId="0" borderId="0" xfId="0" applyFont="1" applyFill="1" applyAlignment="1" applyProtection="1">
      <alignment horizontal="left" vertical="center"/>
      <protection hidden="1"/>
    </xf>
    <xf numFmtId="0" fontId="34" fillId="27" borderId="26" xfId="0" applyFont="1" applyFill="1" applyBorder="1" applyAlignment="1" applyProtection="1">
      <alignment horizontal="left" vertical="center"/>
      <protection hidden="1"/>
    </xf>
    <xf numFmtId="0" fontId="34" fillId="27" borderId="10" xfId="0" applyFont="1" applyFill="1" applyBorder="1" applyAlignment="1">
      <alignment horizontal="left" vertical="center" shrinkToFit="1"/>
    </xf>
    <xf numFmtId="38" fontId="7" fillId="0" borderId="0" xfId="35">
      <alignment vertical="center"/>
    </xf>
    <xf numFmtId="0" fontId="29" fillId="27" borderId="64" xfId="0" applyFont="1" applyFill="1" applyBorder="1">
      <alignment vertical="center"/>
    </xf>
    <xf numFmtId="0" fontId="34" fillId="0" borderId="57" xfId="0" applyFont="1" applyFill="1" applyBorder="1" applyAlignment="1" applyProtection="1">
      <alignment horizontal="center" vertical="top"/>
    </xf>
    <xf numFmtId="0" fontId="29" fillId="0" borderId="57" xfId="0" applyFont="1" applyBorder="1" applyProtection="1">
      <alignment vertical="center"/>
    </xf>
    <xf numFmtId="0" fontId="29" fillId="0" borderId="0" xfId="0" applyFont="1" applyFill="1" applyAlignment="1" applyProtection="1">
      <alignment vertical="top"/>
    </xf>
    <xf numFmtId="0" fontId="73" fillId="0" borderId="0" xfId="0" applyFont="1" applyAlignment="1">
      <alignment horizontal="left" vertical="center"/>
    </xf>
    <xf numFmtId="0" fontId="29" fillId="0" borderId="0" xfId="0" applyFont="1" applyFill="1" applyAlignment="1" applyProtection="1">
      <alignment vertical="top"/>
      <protection hidden="1"/>
    </xf>
    <xf numFmtId="0" fontId="151" fillId="0" borderId="0" xfId="0" applyFont="1" applyFill="1" applyAlignment="1" applyProtection="1">
      <alignment vertical="top"/>
      <protection hidden="1"/>
    </xf>
    <xf numFmtId="0" fontId="151" fillId="0" borderId="0" xfId="0" applyFont="1" applyFill="1" applyProtection="1">
      <alignment vertical="center"/>
    </xf>
    <xf numFmtId="0" fontId="38" fillId="27" borderId="164" xfId="0" applyFont="1" applyFill="1" applyBorder="1" applyAlignment="1" applyProtection="1">
      <alignment vertical="top"/>
      <protection hidden="1"/>
    </xf>
    <xf numFmtId="0" fontId="38" fillId="27" borderId="17" xfId="0" applyFont="1" applyFill="1" applyBorder="1" applyAlignment="1" applyProtection="1">
      <alignment vertical="top"/>
      <protection hidden="1"/>
    </xf>
    <xf numFmtId="0" fontId="38" fillId="27" borderId="180" xfId="0" applyFont="1" applyFill="1" applyBorder="1" applyAlignment="1" applyProtection="1">
      <alignment vertical="top"/>
      <protection hidden="1"/>
    </xf>
    <xf numFmtId="0" fontId="38" fillId="27" borderId="168" xfId="0" applyFont="1" applyFill="1" applyBorder="1" applyAlignment="1" applyProtection="1">
      <alignment vertical="top"/>
      <protection hidden="1"/>
    </xf>
    <xf numFmtId="0" fontId="38" fillId="0" borderId="0" xfId="0" applyFont="1" applyFill="1" applyAlignment="1" applyProtection="1">
      <alignment horizontal="right" vertical="center"/>
      <protection hidden="1"/>
    </xf>
    <xf numFmtId="0" fontId="38" fillId="0" borderId="0" xfId="0" applyFont="1" applyFill="1" applyBorder="1" applyAlignment="1" applyProtection="1">
      <alignment horizontal="left" vertical="center"/>
      <protection hidden="1"/>
    </xf>
    <xf numFmtId="0" fontId="152" fillId="0" borderId="0" xfId="0" applyFont="1" applyFill="1" applyAlignment="1" applyProtection="1">
      <alignment vertical="top"/>
      <protection hidden="1"/>
    </xf>
    <xf numFmtId="0" fontId="29" fillId="31" borderId="82" xfId="0" applyFont="1" applyFill="1" applyBorder="1" applyAlignment="1" applyProtection="1">
      <alignment horizontal="centerContinuous" vertical="center"/>
      <protection hidden="1"/>
    </xf>
    <xf numFmtId="0" fontId="38" fillId="0" borderId="57" xfId="0" applyFont="1" applyFill="1" applyBorder="1" applyAlignment="1" applyProtection="1">
      <alignment horizontal="centerContinuous" vertical="center"/>
      <protection hidden="1"/>
    </xf>
    <xf numFmtId="0" fontId="46" fillId="0" borderId="0" xfId="0" applyFont="1" applyFill="1" applyAlignment="1" applyProtection="1">
      <alignment horizontal="left" vertical="top"/>
      <protection hidden="1"/>
    </xf>
    <xf numFmtId="0" fontId="38" fillId="0" borderId="0" xfId="0" applyFont="1" applyFill="1" applyAlignment="1" applyProtection="1">
      <alignment horizontal="left" vertical="center"/>
      <protection hidden="1"/>
    </xf>
    <xf numFmtId="0" fontId="38" fillId="0" borderId="0" xfId="0" applyFont="1" applyFill="1" applyAlignment="1" applyProtection="1">
      <alignment horizontal="left" vertical="top"/>
      <protection hidden="1"/>
    </xf>
    <xf numFmtId="0" fontId="49" fillId="0" borderId="0" xfId="0" applyFont="1" applyAlignment="1" applyProtection="1">
      <alignment horizontal="left" vertical="center"/>
      <protection hidden="1"/>
    </xf>
    <xf numFmtId="0" fontId="29" fillId="44" borderId="27" xfId="0" applyFont="1" applyFill="1" applyBorder="1" applyAlignment="1" applyProtection="1">
      <alignment horizontal="centerContinuous" vertical="center"/>
      <protection hidden="1"/>
    </xf>
    <xf numFmtId="0" fontId="29" fillId="42" borderId="162" xfId="0" applyFont="1" applyFill="1" applyBorder="1" applyAlignment="1" applyProtection="1">
      <alignment horizontal="left" vertical="center"/>
      <protection hidden="1"/>
    </xf>
    <xf numFmtId="0" fontId="29" fillId="42" borderId="164" xfId="0" applyFont="1" applyFill="1" applyBorder="1" applyAlignment="1" applyProtection="1">
      <alignment horizontal="left" vertical="center" wrapText="1"/>
      <protection hidden="1"/>
    </xf>
    <xf numFmtId="0" fontId="29" fillId="42" borderId="12" xfId="0" applyFont="1" applyFill="1" applyBorder="1" applyAlignment="1" applyProtection="1">
      <alignment horizontal="left" vertical="center"/>
      <protection hidden="1"/>
    </xf>
    <xf numFmtId="0" fontId="29" fillId="42" borderId="14" xfId="0" applyFont="1" applyFill="1" applyBorder="1" applyAlignment="1" applyProtection="1">
      <alignment horizontal="left" vertical="center" wrapText="1"/>
      <protection hidden="1"/>
    </xf>
    <xf numFmtId="0" fontId="30" fillId="0" borderId="0" xfId="0" applyFont="1" applyFill="1" applyAlignment="1" applyProtection="1">
      <alignment horizontal="left" vertical="center"/>
      <protection hidden="1"/>
    </xf>
    <xf numFmtId="0" fontId="29" fillId="27" borderId="52" xfId="0" applyFont="1" applyFill="1" applyBorder="1" applyAlignment="1" applyProtection="1">
      <alignment horizontal="center" vertical="center"/>
      <protection hidden="1"/>
    </xf>
    <xf numFmtId="0" fontId="29" fillId="27" borderId="53" xfId="0" applyFont="1" applyFill="1" applyBorder="1" applyAlignment="1" applyProtection="1">
      <alignment horizontal="center" vertical="top"/>
      <protection hidden="1"/>
    </xf>
    <xf numFmtId="0" fontId="29" fillId="27" borderId="53" xfId="0" applyFont="1" applyFill="1" applyBorder="1" applyAlignment="1" applyProtection="1">
      <alignment horizontal="center" vertical="center"/>
      <protection hidden="1"/>
    </xf>
    <xf numFmtId="0" fontId="29" fillId="27" borderId="163" xfId="0" applyFont="1" applyFill="1" applyBorder="1" applyAlignment="1" applyProtection="1">
      <alignment horizontal="left" vertical="top" wrapText="1"/>
      <protection hidden="1"/>
    </xf>
    <xf numFmtId="0" fontId="29" fillId="27" borderId="13" xfId="0" applyFont="1" applyFill="1" applyBorder="1" applyAlignment="1" applyProtection="1">
      <alignment horizontal="left" vertical="top" wrapText="1"/>
      <protection hidden="1"/>
    </xf>
    <xf numFmtId="0" fontId="29" fillId="27" borderId="179" xfId="0" applyFont="1" applyFill="1" applyBorder="1" applyAlignment="1" applyProtection="1">
      <alignment horizontal="left" vertical="top" wrapText="1"/>
      <protection hidden="1"/>
    </xf>
    <xf numFmtId="0" fontId="27" fillId="27" borderId="50" xfId="0" applyFont="1" applyFill="1" applyBorder="1" applyAlignment="1" applyProtection="1">
      <alignment horizontal="center" vertical="top" wrapText="1"/>
      <protection hidden="1"/>
    </xf>
    <xf numFmtId="0" fontId="157" fillId="0" borderId="0" xfId="0" applyFont="1" applyFill="1" applyAlignment="1" applyProtection="1">
      <alignment vertical="center"/>
      <protection hidden="1"/>
    </xf>
    <xf numFmtId="0" fontId="38" fillId="0" borderId="0" xfId="0" applyFont="1" applyFill="1" applyBorder="1" applyAlignment="1" applyProtection="1">
      <alignment horizontal="justify"/>
      <protection hidden="1"/>
    </xf>
    <xf numFmtId="0" fontId="38" fillId="0" borderId="0" xfId="0" applyFont="1" applyFill="1" applyBorder="1" applyAlignment="1" applyProtection="1">
      <alignment horizontal="left"/>
      <protection hidden="1"/>
    </xf>
    <xf numFmtId="0" fontId="38" fillId="0" borderId="0" xfId="0" applyFont="1" applyFill="1" applyBorder="1" applyAlignment="1" applyProtection="1">
      <alignment horizontal="left" vertical="top"/>
      <protection hidden="1"/>
    </xf>
    <xf numFmtId="0" fontId="35" fillId="0" borderId="0" xfId="0" applyFont="1" applyFill="1" applyAlignment="1" applyProtection="1">
      <alignment horizontal="left" vertical="center"/>
      <protection hidden="1"/>
    </xf>
    <xf numFmtId="0" fontId="29" fillId="27" borderId="187" xfId="0" applyFont="1" applyFill="1" applyBorder="1" applyAlignment="1" applyProtection="1">
      <alignment horizontal="centerContinuous" vertical="center"/>
      <protection hidden="1"/>
    </xf>
    <xf numFmtId="0" fontId="29" fillId="27" borderId="188" xfId="0" applyFont="1" applyFill="1" applyBorder="1" applyAlignment="1">
      <alignment horizontal="centerContinuous" vertical="center"/>
    </xf>
    <xf numFmtId="0" fontId="29" fillId="27" borderId="189" xfId="0" applyFont="1" applyFill="1" applyBorder="1" applyAlignment="1">
      <alignment horizontal="centerContinuous" vertical="top"/>
    </xf>
    <xf numFmtId="0" fontId="29" fillId="27" borderId="190" xfId="0" applyFont="1" applyFill="1" applyBorder="1" applyAlignment="1" applyProtection="1">
      <alignment vertical="center"/>
      <protection hidden="1"/>
    </xf>
    <xf numFmtId="0" fontId="29" fillId="27" borderId="191" xfId="0" applyFont="1" applyFill="1" applyBorder="1" applyAlignment="1">
      <alignment vertical="center"/>
    </xf>
    <xf numFmtId="0" fontId="29" fillId="27" borderId="191" xfId="0" applyFont="1" applyFill="1" applyBorder="1" applyAlignment="1" applyProtection="1">
      <alignment vertical="center"/>
    </xf>
    <xf numFmtId="0" fontId="29" fillId="27" borderId="191" xfId="0" applyFont="1" applyFill="1" applyBorder="1" applyAlignment="1">
      <alignment vertical="top"/>
    </xf>
    <xf numFmtId="0" fontId="29" fillId="27" borderId="192" xfId="0" applyFont="1" applyFill="1" applyBorder="1" applyAlignment="1">
      <alignment vertical="top"/>
    </xf>
    <xf numFmtId="0" fontId="30" fillId="27" borderId="12" xfId="0" applyFont="1" applyFill="1" applyBorder="1" applyAlignment="1" applyProtection="1">
      <alignment vertical="center"/>
      <protection hidden="1"/>
    </xf>
    <xf numFmtId="0" fontId="29" fillId="27" borderId="13" xfId="0" applyFont="1" applyFill="1" applyBorder="1" applyAlignment="1" applyProtection="1">
      <alignment vertical="center"/>
    </xf>
    <xf numFmtId="0" fontId="29" fillId="27" borderId="13" xfId="0" applyFont="1" applyFill="1" applyBorder="1" applyProtection="1">
      <alignment vertical="center"/>
    </xf>
    <xf numFmtId="0" fontId="29" fillId="27" borderId="14" xfId="0" applyFont="1" applyFill="1" applyBorder="1" applyAlignment="1" applyProtection="1">
      <alignment vertical="center"/>
    </xf>
    <xf numFmtId="0" fontId="29" fillId="27" borderId="13" xfId="0" applyFont="1" applyFill="1" applyBorder="1" applyAlignment="1">
      <alignment vertical="top"/>
    </xf>
    <xf numFmtId="0" fontId="29" fillId="27" borderId="14" xfId="0" applyFont="1" applyFill="1" applyBorder="1" applyAlignment="1">
      <alignment vertical="top"/>
    </xf>
    <xf numFmtId="0" fontId="30" fillId="27" borderId="173" xfId="0" applyFont="1" applyFill="1" applyBorder="1" applyAlignment="1" applyProtection="1">
      <alignment vertical="center"/>
      <protection hidden="1"/>
    </xf>
    <xf numFmtId="0" fontId="29" fillId="27" borderId="87" xfId="0" applyFont="1" applyFill="1" applyBorder="1" applyAlignment="1" applyProtection="1">
      <alignment vertical="center"/>
    </xf>
    <xf numFmtId="0" fontId="29" fillId="27" borderId="87" xfId="0" applyFont="1" applyFill="1" applyBorder="1" applyProtection="1">
      <alignment vertical="center"/>
    </xf>
    <xf numFmtId="0" fontId="29" fillId="27" borderId="87" xfId="0" applyFont="1" applyFill="1" applyBorder="1" applyAlignment="1">
      <alignment vertical="center"/>
    </xf>
    <xf numFmtId="0" fontId="29" fillId="27" borderId="87" xfId="0" applyFont="1" applyFill="1" applyBorder="1" applyAlignment="1">
      <alignment vertical="top"/>
    </xf>
    <xf numFmtId="0" fontId="29" fillId="27" borderId="173" xfId="0" applyFont="1" applyFill="1" applyBorder="1" applyAlignment="1" applyProtection="1">
      <alignment vertical="center"/>
      <protection hidden="1"/>
    </xf>
    <xf numFmtId="0" fontId="29" fillId="27" borderId="167" xfId="0" applyFont="1" applyFill="1" applyBorder="1" applyAlignment="1" applyProtection="1">
      <alignment vertical="center"/>
      <protection hidden="1"/>
    </xf>
    <xf numFmtId="0" fontId="29" fillId="27" borderId="169" xfId="0" applyFont="1" applyFill="1" applyBorder="1" applyAlignment="1">
      <alignment vertical="center"/>
    </xf>
    <xf numFmtId="0" fontId="29" fillId="27" borderId="169" xfId="0" applyFont="1" applyFill="1" applyBorder="1" applyProtection="1">
      <alignment vertical="center"/>
    </xf>
    <xf numFmtId="0" fontId="29" fillId="27" borderId="169" xfId="0" applyFont="1" applyFill="1" applyBorder="1" applyAlignment="1">
      <alignment vertical="top"/>
    </xf>
    <xf numFmtId="0" fontId="29" fillId="27" borderId="168" xfId="0" applyFont="1" applyFill="1" applyBorder="1" applyAlignment="1">
      <alignment vertical="top"/>
    </xf>
    <xf numFmtId="0" fontId="29" fillId="0" borderId="0" xfId="0" applyFont="1">
      <alignment vertical="center"/>
    </xf>
    <xf numFmtId="0" fontId="38" fillId="0" borderId="0" xfId="0" applyFont="1">
      <alignment vertical="center"/>
    </xf>
    <xf numFmtId="0" fontId="38" fillId="0" borderId="0" xfId="0" applyFont="1" applyFill="1" applyBorder="1" applyAlignment="1" applyProtection="1">
      <alignment vertical="center"/>
      <protection hidden="1"/>
    </xf>
    <xf numFmtId="0" fontId="28" fillId="0" borderId="0" xfId="0" applyFont="1" applyFill="1" applyAlignment="1" applyProtection="1">
      <alignment horizontal="left" vertical="center"/>
      <protection hidden="1"/>
    </xf>
    <xf numFmtId="0" fontId="49" fillId="0" borderId="0" xfId="0" applyFont="1" applyFill="1" applyAlignment="1" applyProtection="1">
      <alignment horizontal="left" vertical="top"/>
      <protection hidden="1"/>
    </xf>
    <xf numFmtId="0" fontId="29" fillId="27" borderId="187" xfId="0" applyFont="1" applyFill="1" applyBorder="1" applyAlignment="1" applyProtection="1">
      <alignment horizontal="left" vertical="center"/>
      <protection hidden="1"/>
    </xf>
    <xf numFmtId="0" fontId="29" fillId="27" borderId="188" xfId="0" applyFont="1" applyFill="1" applyBorder="1" applyAlignment="1" applyProtection="1">
      <alignment horizontal="left" vertical="center"/>
      <protection hidden="1"/>
    </xf>
    <xf numFmtId="0" fontId="29" fillId="27" borderId="189"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158" fillId="0" borderId="0" xfId="0" applyFont="1" applyFill="1" applyAlignment="1" applyProtection="1">
      <alignment horizontal="left" vertical="center"/>
      <protection hidden="1"/>
    </xf>
    <xf numFmtId="0" fontId="38" fillId="0" borderId="0" xfId="0" applyFont="1" applyFill="1" applyBorder="1" applyAlignment="1" applyProtection="1">
      <alignment horizontal="left" vertical="top"/>
      <protection hidden="1"/>
    </xf>
    <xf numFmtId="0" fontId="151" fillId="0" borderId="0" xfId="0" applyFont="1" applyProtection="1">
      <alignment vertical="center"/>
    </xf>
    <xf numFmtId="0" fontId="29" fillId="0" borderId="0" xfId="0" applyFont="1" applyFill="1" applyBorder="1" applyAlignment="1" applyProtection="1">
      <alignment horizontal="right"/>
      <protection hidden="1"/>
    </xf>
    <xf numFmtId="0" fontId="27" fillId="0" borderId="144" xfId="0" applyNumberFormat="1" applyFont="1" applyFill="1" applyBorder="1" applyAlignment="1" applyProtection="1">
      <alignment horizontal="center" vertical="center"/>
      <protection hidden="1"/>
    </xf>
    <xf numFmtId="0" fontId="29" fillId="27" borderId="27" xfId="0" applyFont="1" applyFill="1" applyBorder="1" applyAlignment="1" applyProtection="1">
      <alignment vertical="center"/>
    </xf>
    <xf numFmtId="0" fontId="27" fillId="0" borderId="0" xfId="0" applyFont="1" applyFill="1" applyBorder="1" applyAlignment="1" applyProtection="1">
      <alignment vertical="center"/>
      <protection hidden="1"/>
    </xf>
    <xf numFmtId="0" fontId="29" fillId="0" borderId="17" xfId="0" applyFont="1" applyFill="1" applyBorder="1" applyAlignment="1" applyProtection="1">
      <protection hidden="1"/>
    </xf>
    <xf numFmtId="0" fontId="29" fillId="27" borderId="54" xfId="0" applyFont="1" applyFill="1" applyBorder="1" applyAlignment="1" applyProtection="1">
      <alignment horizontal="center" vertical="center"/>
      <protection hidden="1"/>
    </xf>
    <xf numFmtId="0" fontId="29" fillId="27" borderId="0" xfId="0" applyFont="1" applyFill="1" applyBorder="1" applyAlignment="1" applyProtection="1">
      <alignment horizontal="center" vertical="center"/>
      <protection hidden="1"/>
    </xf>
    <xf numFmtId="0" fontId="29" fillId="27" borderId="54" xfId="0" applyFont="1" applyFill="1" applyBorder="1" applyAlignment="1" applyProtection="1">
      <alignment horizontal="center" vertical="top"/>
      <protection hidden="1"/>
    </xf>
    <xf numFmtId="0" fontId="38" fillId="0" borderId="17" xfId="0" applyFont="1" applyFill="1" applyBorder="1" applyAlignment="1" applyProtection="1">
      <alignment vertical="center"/>
      <protection hidden="1"/>
    </xf>
    <xf numFmtId="0" fontId="29" fillId="27" borderId="58" xfId="0" applyFont="1" applyFill="1" applyBorder="1" applyAlignment="1" applyProtection="1">
      <alignment horizontal="center" vertical="center"/>
      <protection hidden="1"/>
    </xf>
    <xf numFmtId="0" fontId="29" fillId="27" borderId="56" xfId="0" applyFont="1" applyFill="1" applyBorder="1" applyAlignment="1" applyProtection="1">
      <alignment horizontal="center" vertical="center"/>
      <protection hidden="1"/>
    </xf>
    <xf numFmtId="0" fontId="29" fillId="27" borderId="57" xfId="0" applyFont="1" applyFill="1" applyBorder="1" applyAlignment="1" applyProtection="1">
      <alignment horizontal="center" vertical="center"/>
      <protection hidden="1"/>
    </xf>
    <xf numFmtId="0" fontId="29" fillId="27" borderId="58" xfId="0" applyFont="1" applyFill="1" applyBorder="1" applyAlignment="1" applyProtection="1">
      <alignment horizontal="center" vertical="top"/>
      <protection hidden="1"/>
    </xf>
    <xf numFmtId="0" fontId="29" fillId="0" borderId="17" xfId="0" applyFont="1" applyFill="1" applyBorder="1" applyAlignment="1" applyProtection="1">
      <alignment vertical="center"/>
      <protection hidden="1"/>
    </xf>
    <xf numFmtId="0" fontId="29" fillId="27" borderId="16" xfId="0" applyFont="1" applyFill="1" applyBorder="1" applyAlignment="1" applyProtection="1">
      <alignment horizontal="center" vertical="center"/>
      <protection locked="0" hidden="1"/>
    </xf>
    <xf numFmtId="0" fontId="38" fillId="27" borderId="162" xfId="0" applyFont="1" applyFill="1" applyBorder="1" applyAlignment="1" applyProtection="1">
      <alignment horizontal="left" vertical="center"/>
      <protection hidden="1"/>
    </xf>
    <xf numFmtId="0" fontId="38" fillId="27" borderId="164" xfId="0" applyFont="1" applyFill="1" applyBorder="1" applyAlignment="1" applyProtection="1">
      <alignment horizontal="left" vertical="center"/>
      <protection hidden="1"/>
    </xf>
    <xf numFmtId="0" fontId="38" fillId="27" borderId="163" xfId="0" applyFont="1" applyFill="1" applyBorder="1" applyAlignment="1" applyProtection="1">
      <alignment horizontal="left" vertical="center"/>
      <protection hidden="1"/>
    </xf>
    <xf numFmtId="0" fontId="38" fillId="27" borderId="164" xfId="0" applyFont="1" applyFill="1" applyBorder="1" applyAlignment="1" applyProtection="1">
      <alignment horizontal="left" vertical="top"/>
      <protection hidden="1"/>
    </xf>
    <xf numFmtId="0" fontId="29" fillId="0" borderId="17" xfId="0" applyFont="1" applyFill="1" applyBorder="1" applyAlignment="1" applyProtection="1">
      <alignment horizontal="left" vertical="center"/>
      <protection hidden="1"/>
    </xf>
    <xf numFmtId="0" fontId="29" fillId="27" borderId="11" xfId="0" applyFont="1" applyFill="1" applyBorder="1" applyAlignment="1" applyProtection="1">
      <alignment horizontal="center" vertical="center"/>
      <protection locked="0" hidden="1"/>
    </xf>
    <xf numFmtId="0" fontId="38" fillId="27" borderId="12" xfId="0" applyFont="1" applyFill="1" applyBorder="1" applyAlignment="1" applyProtection="1">
      <alignment horizontal="left" vertical="center"/>
      <protection hidden="1"/>
    </xf>
    <xf numFmtId="0" fontId="38" fillId="27" borderId="14" xfId="0" applyFont="1" applyFill="1" applyBorder="1" applyAlignment="1" applyProtection="1">
      <alignment horizontal="left" vertical="top"/>
      <protection hidden="1"/>
    </xf>
    <xf numFmtId="0" fontId="38" fillId="27" borderId="13" xfId="0" applyFont="1" applyFill="1" applyBorder="1" applyAlignment="1" applyProtection="1">
      <alignment horizontal="left" vertical="top"/>
      <protection hidden="1"/>
    </xf>
    <xf numFmtId="0" fontId="27" fillId="0" borderId="17" xfId="0" applyFont="1" applyFill="1" applyBorder="1" applyAlignment="1" applyProtection="1">
      <alignment horizontal="center" vertical="top"/>
      <protection hidden="1"/>
    </xf>
    <xf numFmtId="0" fontId="27" fillId="0" borderId="0" xfId="0" applyFont="1" applyFill="1" applyBorder="1" applyAlignment="1" applyProtection="1">
      <alignment horizontal="center" vertical="top"/>
      <protection hidden="1"/>
    </xf>
    <xf numFmtId="0" fontId="29" fillId="27" borderId="166" xfId="0" applyFont="1" applyFill="1" applyBorder="1" applyAlignment="1" applyProtection="1">
      <alignment horizontal="center" vertical="center"/>
      <protection locked="0" hidden="1"/>
    </xf>
    <xf numFmtId="0" fontId="38" fillId="27" borderId="167" xfId="0" applyFont="1" applyFill="1" applyBorder="1" applyAlignment="1" applyProtection="1">
      <alignment horizontal="left" vertical="center"/>
      <protection hidden="1"/>
    </xf>
    <xf numFmtId="0" fontId="38" fillId="27" borderId="168" xfId="0" applyFont="1" applyFill="1" applyBorder="1" applyAlignment="1" applyProtection="1">
      <alignment horizontal="left" vertical="center"/>
      <protection hidden="1"/>
    </xf>
    <xf numFmtId="0" fontId="38" fillId="27" borderId="169" xfId="0" applyFont="1" applyFill="1" applyBorder="1" applyAlignment="1" applyProtection="1">
      <alignment horizontal="left" vertical="center"/>
      <protection hidden="1"/>
    </xf>
    <xf numFmtId="0" fontId="38" fillId="27" borderId="168" xfId="0" applyFont="1" applyFill="1" applyBorder="1" applyAlignment="1" applyProtection="1">
      <alignment horizontal="left" vertical="top"/>
      <protection hidden="1"/>
    </xf>
    <xf numFmtId="0" fontId="38" fillId="27" borderId="13" xfId="0" applyFont="1" applyFill="1" applyBorder="1" applyAlignment="1" applyProtection="1">
      <alignment horizontal="left" vertical="center"/>
      <protection hidden="1"/>
    </xf>
    <xf numFmtId="0" fontId="29" fillId="0" borderId="17" xfId="0" applyFont="1" applyFill="1" applyBorder="1" applyAlignment="1" applyProtection="1">
      <alignment horizontal="left"/>
      <protection hidden="1"/>
    </xf>
    <xf numFmtId="0" fontId="29" fillId="0" borderId="0" xfId="0" applyFont="1" applyFill="1" applyBorder="1" applyAlignment="1" applyProtection="1">
      <alignment horizontal="left"/>
      <protection hidden="1"/>
    </xf>
    <xf numFmtId="0" fontId="38" fillId="27" borderId="173" xfId="0" applyFont="1" applyFill="1" applyBorder="1" applyAlignment="1" applyProtection="1">
      <alignment horizontal="left" vertical="center"/>
      <protection hidden="1"/>
    </xf>
    <xf numFmtId="0" fontId="38" fillId="27" borderId="193" xfId="0" applyFont="1" applyFill="1" applyBorder="1" applyAlignment="1" applyProtection="1">
      <alignment horizontal="left" vertical="center"/>
      <protection hidden="1"/>
    </xf>
    <xf numFmtId="0" fontId="38" fillId="27" borderId="87" xfId="0" applyFont="1" applyFill="1" applyBorder="1" applyAlignment="1" applyProtection="1">
      <alignment horizontal="left" vertical="center"/>
      <protection hidden="1"/>
    </xf>
    <xf numFmtId="0" fontId="38" fillId="27" borderId="179" xfId="0" applyFont="1" applyFill="1" applyBorder="1" applyAlignment="1" applyProtection="1">
      <alignment horizontal="left" vertical="center"/>
      <protection hidden="1"/>
    </xf>
    <xf numFmtId="0" fontId="38" fillId="27" borderId="180" xfId="0" applyFont="1" applyFill="1" applyBorder="1" applyAlignment="1" applyProtection="1">
      <alignment horizontal="left" vertical="center"/>
      <protection hidden="1"/>
    </xf>
    <xf numFmtId="0" fontId="29" fillId="27" borderId="55" xfId="0" applyFont="1" applyFill="1" applyBorder="1" applyAlignment="1" applyProtection="1">
      <alignment horizontal="center" vertical="center"/>
      <protection locked="0" hidden="1"/>
    </xf>
    <xf numFmtId="0" fontId="38" fillId="27" borderId="56" xfId="0" applyFont="1" applyFill="1" applyBorder="1" applyAlignment="1" applyProtection="1">
      <alignment horizontal="left" vertical="center"/>
      <protection hidden="1"/>
    </xf>
    <xf numFmtId="0" fontId="38" fillId="27" borderId="58" xfId="0" applyFont="1" applyFill="1" applyBorder="1" applyAlignment="1" applyProtection="1">
      <alignment horizontal="left" vertical="center"/>
      <protection hidden="1"/>
    </xf>
    <xf numFmtId="0" fontId="29" fillId="0" borderId="53" xfId="0" applyFont="1" applyBorder="1" applyProtection="1">
      <alignment vertical="center"/>
    </xf>
    <xf numFmtId="0" fontId="29" fillId="0" borderId="53" xfId="0" applyFont="1" applyBorder="1" applyAlignment="1" applyProtection="1">
      <alignment vertical="top"/>
    </xf>
    <xf numFmtId="0" fontId="29" fillId="31" borderId="80" xfId="0" applyFont="1" applyFill="1" applyBorder="1" applyAlignment="1" applyProtection="1">
      <alignment horizontal="centerContinuous" vertical="top"/>
      <protection hidden="1"/>
    </xf>
    <xf numFmtId="0" fontId="0" fillId="43" borderId="10" xfId="0" applyFill="1" applyBorder="1">
      <alignment vertical="center"/>
    </xf>
    <xf numFmtId="0" fontId="27" fillId="0" borderId="57" xfId="0" applyFont="1" applyFill="1" applyBorder="1" applyAlignment="1" applyProtection="1">
      <alignment horizontal="left" vertical="center"/>
      <protection hidden="1"/>
    </xf>
    <xf numFmtId="0" fontId="29" fillId="0" borderId="57" xfId="0" applyFont="1" applyFill="1" applyBorder="1" applyAlignment="1" applyProtection="1">
      <alignment horizontal="left" vertical="center"/>
      <protection hidden="1"/>
    </xf>
    <xf numFmtId="0" fontId="29" fillId="0" borderId="57" xfId="0" applyFont="1" applyFill="1" applyBorder="1" applyAlignment="1" applyProtection="1">
      <alignment horizontal="left" vertical="top"/>
      <protection hidden="1"/>
    </xf>
    <xf numFmtId="0" fontId="29" fillId="27" borderId="26" xfId="0" applyFont="1" applyFill="1" applyBorder="1" applyAlignment="1" applyProtection="1">
      <alignment horizontal="left"/>
      <protection hidden="1"/>
    </xf>
    <xf numFmtId="0" fontId="29" fillId="27" borderId="50" xfId="0" applyFont="1" applyFill="1" applyBorder="1" applyAlignment="1" applyProtection="1">
      <alignment horizontal="left"/>
      <protection hidden="1"/>
    </xf>
    <xf numFmtId="0" fontId="29" fillId="27" borderId="27" xfId="0" applyFont="1" applyFill="1" applyBorder="1" applyAlignment="1" applyProtection="1">
      <alignment horizontal="left"/>
      <protection hidden="1"/>
    </xf>
    <xf numFmtId="0" fontId="29" fillId="27" borderId="26" xfId="0" applyFont="1" applyFill="1" applyBorder="1" applyAlignment="1" applyProtection="1">
      <protection hidden="1"/>
    </xf>
    <xf numFmtId="0" fontId="29" fillId="27" borderId="50" xfId="0" applyFont="1" applyFill="1" applyBorder="1" applyAlignment="1" applyProtection="1">
      <protection hidden="1"/>
    </xf>
    <xf numFmtId="0" fontId="29" fillId="27" borderId="50" xfId="0" applyFont="1" applyFill="1" applyBorder="1" applyAlignment="1" applyProtection="1">
      <alignment vertical="top"/>
      <protection hidden="1"/>
    </xf>
    <xf numFmtId="0" fontId="29" fillId="27" borderId="27" xfId="0" applyFont="1" applyFill="1" applyBorder="1" applyAlignment="1" applyProtection="1">
      <protection hidden="1"/>
    </xf>
    <xf numFmtId="0" fontId="38" fillId="27" borderId="26" xfId="0" applyFont="1" applyFill="1" applyBorder="1" applyAlignment="1" applyProtection="1">
      <alignment horizontal="left"/>
      <protection hidden="1"/>
    </xf>
    <xf numFmtId="0" fontId="38" fillId="27" borderId="50" xfId="0" applyFont="1" applyFill="1" applyBorder="1" applyAlignment="1" applyProtection="1">
      <alignment horizontal="left"/>
      <protection hidden="1"/>
    </xf>
    <xf numFmtId="0" fontId="38" fillId="27" borderId="50" xfId="0" applyFont="1" applyFill="1" applyBorder="1" applyAlignment="1" applyProtection="1">
      <alignment horizontal="left" vertical="top"/>
      <protection hidden="1"/>
    </xf>
    <xf numFmtId="0" fontId="38" fillId="27" borderId="27" xfId="0" applyFont="1" applyFill="1" applyBorder="1" applyAlignment="1" applyProtection="1">
      <alignment horizontal="left"/>
      <protection hidden="1"/>
    </xf>
    <xf numFmtId="0" fontId="29" fillId="27" borderId="15" xfId="0" applyFont="1" applyFill="1" applyBorder="1" applyAlignment="1" applyProtection="1">
      <alignment vertical="center"/>
      <protection hidden="1"/>
    </xf>
    <xf numFmtId="0" fontId="29" fillId="27" borderId="50" xfId="0" applyFont="1" applyFill="1" applyBorder="1" applyAlignment="1" applyProtection="1">
      <alignment horizontal="left" vertical="top"/>
      <protection hidden="1"/>
    </xf>
    <xf numFmtId="0" fontId="29" fillId="27" borderId="10" xfId="0" applyFont="1" applyFill="1" applyBorder="1" applyAlignment="1" applyProtection="1">
      <protection hidden="1"/>
    </xf>
    <xf numFmtId="0" fontId="27" fillId="0" borderId="0" xfId="0" applyFont="1" applyFill="1" applyBorder="1" applyAlignment="1" applyProtection="1">
      <alignment horizontal="left" vertical="center"/>
      <protection hidden="1"/>
    </xf>
    <xf numFmtId="0" fontId="29" fillId="0" borderId="0" xfId="0" applyFont="1" applyFill="1" applyBorder="1" applyAlignment="1" applyProtection="1">
      <alignment vertical="top"/>
      <protection hidden="1"/>
    </xf>
    <xf numFmtId="0" fontId="29" fillId="27" borderId="26" xfId="0" applyFont="1" applyFill="1" applyBorder="1" applyAlignment="1" applyProtection="1">
      <alignment horizontal="left" vertical="center"/>
      <protection hidden="1"/>
    </xf>
    <xf numFmtId="0" fontId="29" fillId="27" borderId="50" xfId="0" applyFont="1" applyFill="1" applyBorder="1" applyAlignment="1" applyProtection="1">
      <alignment horizontal="left" vertical="center"/>
      <protection hidden="1"/>
    </xf>
    <xf numFmtId="0" fontId="29" fillId="27" borderId="27" xfId="0" applyFont="1" applyFill="1" applyBorder="1" applyAlignment="1" applyProtection="1">
      <alignment horizontal="left" vertical="center"/>
      <protection hidden="1"/>
    </xf>
    <xf numFmtId="0" fontId="29" fillId="27" borderId="26" xfId="0" applyFont="1" applyFill="1" applyBorder="1" applyAlignment="1" applyProtection="1">
      <alignment vertical="center"/>
      <protection hidden="1"/>
    </xf>
    <xf numFmtId="0" fontId="29" fillId="27" borderId="26"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29" fillId="27" borderId="10" xfId="0" applyFont="1" applyFill="1" applyBorder="1" applyAlignment="1" applyProtection="1">
      <alignment vertical="top"/>
      <protection hidden="1"/>
    </xf>
    <xf numFmtId="0" fontId="29" fillId="27" borderId="10" xfId="0" applyFont="1" applyFill="1" applyBorder="1" applyAlignment="1" applyProtection="1">
      <alignment vertical="center"/>
      <protection hidden="1"/>
    </xf>
    <xf numFmtId="0" fontId="29" fillId="27" borderId="52" xfId="0" applyFont="1" applyFill="1" applyBorder="1" applyAlignment="1" applyProtection="1">
      <alignment horizontal="left" vertical="center"/>
      <protection hidden="1"/>
    </xf>
    <xf numFmtId="0" fontId="29" fillId="27" borderId="53" xfId="0" applyFont="1" applyFill="1" applyBorder="1" applyAlignment="1" applyProtection="1">
      <alignment horizontal="left" vertical="center"/>
      <protection hidden="1"/>
    </xf>
    <xf numFmtId="0" fontId="29" fillId="27" borderId="54" xfId="0" applyFont="1" applyFill="1" applyBorder="1" applyAlignment="1" applyProtection="1">
      <alignment horizontal="left" vertical="center"/>
      <protection hidden="1"/>
    </xf>
    <xf numFmtId="0" fontId="29" fillId="27" borderId="10" xfId="0" applyNumberFormat="1" applyFont="1" applyFill="1" applyBorder="1" applyAlignment="1" applyProtection="1">
      <alignment vertical="top"/>
      <protection hidden="1"/>
    </xf>
    <xf numFmtId="3" fontId="29" fillId="27" borderId="27" xfId="0" applyNumberFormat="1" applyFont="1" applyFill="1" applyBorder="1" applyAlignment="1" applyProtection="1">
      <alignment horizontal="right" vertical="top"/>
      <protection hidden="1"/>
    </xf>
    <xf numFmtId="0" fontId="29" fillId="27" borderId="56" xfId="0" applyFont="1" applyFill="1" applyBorder="1" applyAlignment="1" applyProtection="1">
      <alignment horizontal="left" vertical="center"/>
      <protection hidden="1"/>
    </xf>
    <xf numFmtId="0" fontId="29" fillId="27" borderId="57" xfId="0" applyFont="1" applyFill="1" applyBorder="1" applyAlignment="1" applyProtection="1">
      <alignment horizontal="left" vertical="center"/>
      <protection hidden="1"/>
    </xf>
    <xf numFmtId="0" fontId="29" fillId="27" borderId="58" xfId="0" applyFont="1" applyFill="1" applyBorder="1" applyAlignment="1" applyProtection="1">
      <alignment horizontal="left" vertical="center"/>
      <protection hidden="1"/>
    </xf>
    <xf numFmtId="0" fontId="29" fillId="27" borderId="27" xfId="0" applyNumberFormat="1" applyFont="1" applyFill="1" applyBorder="1" applyAlignment="1" applyProtection="1">
      <alignment vertical="center"/>
      <protection hidden="1"/>
    </xf>
    <xf numFmtId="0" fontId="29" fillId="27" borderId="52" xfId="0" applyFont="1" applyFill="1" applyBorder="1" applyAlignment="1" applyProtection="1">
      <alignment horizontal="left" vertical="top"/>
      <protection hidden="1"/>
    </xf>
    <xf numFmtId="0" fontId="29" fillId="27" borderId="53" xfId="0" applyFont="1" applyFill="1" applyBorder="1" applyAlignment="1" applyProtection="1">
      <alignment horizontal="left" vertical="top"/>
      <protection hidden="1"/>
    </xf>
    <xf numFmtId="0" fontId="29" fillId="27" borderId="54" xfId="0" applyFont="1" applyFill="1" applyBorder="1" applyAlignment="1" applyProtection="1">
      <alignment horizontal="left" vertical="top"/>
      <protection hidden="1"/>
    </xf>
    <xf numFmtId="3" fontId="29" fillId="27" borderId="27" xfId="0" applyNumberFormat="1" applyFont="1" applyFill="1" applyBorder="1" applyAlignment="1" applyProtection="1">
      <alignment vertical="center"/>
      <protection hidden="1"/>
    </xf>
    <xf numFmtId="0" fontId="29" fillId="27" borderId="64" xfId="0" applyFont="1" applyFill="1" applyBorder="1" applyAlignment="1" applyProtection="1">
      <alignment horizontal="left" vertical="top"/>
      <protection hidden="1"/>
    </xf>
    <xf numFmtId="0" fontId="29" fillId="27" borderId="0" xfId="0" applyFont="1" applyFill="1" applyBorder="1" applyAlignment="1" applyProtection="1">
      <alignment horizontal="left" vertical="top"/>
      <protection hidden="1"/>
    </xf>
    <xf numFmtId="0" fontId="29" fillId="27" borderId="17" xfId="0" applyFont="1" applyFill="1" applyBorder="1" applyAlignment="1" applyProtection="1">
      <alignment horizontal="left" vertical="top"/>
      <protection hidden="1"/>
    </xf>
    <xf numFmtId="0" fontId="29" fillId="27" borderId="56" xfId="0" applyFont="1" applyFill="1" applyBorder="1" applyAlignment="1" applyProtection="1">
      <alignment horizontal="left" vertical="top"/>
      <protection hidden="1"/>
    </xf>
    <xf numFmtId="0" fontId="29" fillId="27" borderId="57" xfId="0" applyFont="1" applyFill="1" applyBorder="1" applyAlignment="1" applyProtection="1">
      <alignment horizontal="left" vertical="top"/>
      <protection hidden="1"/>
    </xf>
    <xf numFmtId="0" fontId="29" fillId="27" borderId="58" xfId="0" applyFont="1" applyFill="1" applyBorder="1" applyAlignment="1" applyProtection="1">
      <alignment horizontal="left" vertical="top"/>
      <protection hidden="1"/>
    </xf>
    <xf numFmtId="0" fontId="29" fillId="27" borderId="64" xfId="0" applyFont="1" applyFill="1" applyBorder="1" applyAlignment="1" applyProtection="1">
      <alignment horizontal="left" vertical="center"/>
      <protection hidden="1"/>
    </xf>
    <xf numFmtId="0" fontId="29" fillId="27" borderId="0" xfId="0" applyFont="1" applyFill="1" applyBorder="1" applyAlignment="1" applyProtection="1">
      <alignment horizontal="left" vertical="center"/>
      <protection hidden="1"/>
    </xf>
    <xf numFmtId="0" fontId="29" fillId="27" borderId="17" xfId="0" applyFont="1" applyFill="1" applyBorder="1" applyAlignment="1" applyProtection="1">
      <alignment horizontal="left" vertical="center"/>
      <protection hidden="1"/>
    </xf>
    <xf numFmtId="0" fontId="27"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8" fillId="0" borderId="0" xfId="0" applyFont="1" applyFill="1" applyBorder="1" applyAlignment="1" applyProtection="1">
      <alignment horizontal="left" vertical="top"/>
    </xf>
    <xf numFmtId="0" fontId="29" fillId="27" borderId="52" xfId="0" applyFont="1" applyFill="1" applyBorder="1">
      <alignment vertical="center"/>
    </xf>
    <xf numFmtId="0" fontId="29" fillId="27" borderId="51" xfId="0" applyFont="1" applyFill="1" applyBorder="1" applyAlignment="1">
      <alignment horizontal="center" vertical="center"/>
    </xf>
    <xf numFmtId="0" fontId="29" fillId="27" borderId="51" xfId="0" applyFont="1" applyFill="1" applyBorder="1">
      <alignment vertical="center"/>
    </xf>
    <xf numFmtId="0" fontId="29" fillId="27" borderId="10" xfId="0" applyFont="1" applyFill="1" applyBorder="1" applyAlignment="1">
      <alignment horizontal="center" vertical="center"/>
    </xf>
    <xf numFmtId="38" fontId="29" fillId="27" borderId="51" xfId="35" applyFont="1" applyFill="1" applyBorder="1">
      <alignment vertical="center"/>
    </xf>
    <xf numFmtId="0" fontId="29" fillId="27" borderId="54" xfId="0" applyFont="1" applyFill="1" applyBorder="1">
      <alignment vertical="center"/>
    </xf>
    <xf numFmtId="0" fontId="29" fillId="27" borderId="15" xfId="0" applyFont="1" applyFill="1" applyBorder="1">
      <alignment vertical="center"/>
    </xf>
    <xf numFmtId="38" fontId="29" fillId="27" borderId="15" xfId="35" applyFont="1" applyFill="1" applyBorder="1">
      <alignment vertical="center"/>
    </xf>
    <xf numFmtId="0" fontId="29" fillId="27" borderId="17" xfId="0" applyFont="1" applyFill="1" applyBorder="1">
      <alignment vertical="center"/>
    </xf>
    <xf numFmtId="0" fontId="29" fillId="27" borderId="56" xfId="0" applyFont="1" applyFill="1" applyBorder="1">
      <alignment vertical="center"/>
    </xf>
    <xf numFmtId="0" fontId="29" fillId="27" borderId="55" xfId="0" applyFont="1" applyFill="1" applyBorder="1">
      <alignment vertical="center"/>
    </xf>
    <xf numFmtId="38" fontId="29" fillId="27" borderId="55" xfId="35" applyFont="1" applyFill="1" applyBorder="1">
      <alignment vertical="center"/>
    </xf>
    <xf numFmtId="0" fontId="29" fillId="27" borderId="58" xfId="0" applyFont="1" applyFill="1" applyBorder="1">
      <alignment vertical="center"/>
    </xf>
    <xf numFmtId="0" fontId="34" fillId="0" borderId="57" xfId="0" applyFont="1" applyFill="1" applyBorder="1" applyAlignment="1" applyProtection="1">
      <alignment horizontal="right" vertical="center"/>
    </xf>
    <xf numFmtId="0" fontId="49" fillId="0" borderId="0" xfId="0" applyFont="1" applyFill="1" applyAlignment="1" applyProtection="1">
      <alignment horizontal="right" vertical="center"/>
    </xf>
    <xf numFmtId="176" fontId="29" fillId="27" borderId="12" xfId="0" applyNumberFormat="1" applyFont="1" applyFill="1" applyBorder="1" applyAlignment="1" applyProtection="1">
      <alignment horizontal="left" vertical="center"/>
      <protection hidden="1"/>
    </xf>
    <xf numFmtId="176" fontId="29" fillId="27" borderId="167" xfId="0" applyNumberFormat="1" applyFont="1" applyFill="1" applyBorder="1" applyAlignment="1" applyProtection="1">
      <alignment horizontal="left" vertical="center"/>
      <protection hidden="1"/>
    </xf>
    <xf numFmtId="0" fontId="126" fillId="0" borderId="0" xfId="0" applyFont="1" applyFill="1" applyProtection="1">
      <alignment vertical="center"/>
    </xf>
    <xf numFmtId="0" fontId="29" fillId="0" borderId="0" xfId="0" applyFont="1" applyFill="1" applyBorder="1" applyAlignment="1" applyProtection="1">
      <alignment vertical="center"/>
    </xf>
    <xf numFmtId="0" fontId="29" fillId="0" borderId="0" xfId="0" applyFont="1" applyAlignment="1" applyProtection="1">
      <protection hidden="1"/>
    </xf>
    <xf numFmtId="0" fontId="29" fillId="31" borderId="10" xfId="0" applyFont="1" applyFill="1" applyBorder="1" applyAlignment="1" applyProtection="1">
      <alignment horizontal="center" vertical="center"/>
    </xf>
    <xf numFmtId="0" fontId="34" fillId="31" borderId="26" xfId="44" applyFont="1" applyFill="1" applyBorder="1" applyAlignment="1" applyProtection="1">
      <alignment horizontal="center" vertical="center"/>
      <protection hidden="1"/>
    </xf>
    <xf numFmtId="0" fontId="38" fillId="31" borderId="10" xfId="44" applyFont="1" applyFill="1" applyBorder="1" applyAlignment="1" applyProtection="1">
      <alignment horizontal="center" vertical="center"/>
      <protection hidden="1"/>
    </xf>
    <xf numFmtId="0" fontId="34" fillId="31" borderId="10" xfId="44" applyFont="1" applyFill="1" applyBorder="1" applyAlignment="1" applyProtection="1">
      <alignment horizontal="center" vertical="center"/>
      <protection hidden="1"/>
    </xf>
    <xf numFmtId="0" fontId="27" fillId="0" borderId="0" xfId="0" applyFont="1" applyFill="1" applyAlignment="1" applyProtection="1">
      <alignment horizontal="right" vertical="center"/>
    </xf>
    <xf numFmtId="0" fontId="29" fillId="31" borderId="10" xfId="0" applyFont="1" applyFill="1" applyBorder="1" applyProtection="1">
      <alignment vertical="center"/>
    </xf>
    <xf numFmtId="178" fontId="29" fillId="27" borderId="10" xfId="0" applyNumberFormat="1" applyFont="1" applyFill="1" applyBorder="1" applyProtection="1">
      <alignment vertical="center"/>
    </xf>
    <xf numFmtId="178" fontId="29" fillId="27" borderId="26" xfId="0" applyNumberFormat="1" applyFont="1" applyFill="1" applyBorder="1" applyProtection="1">
      <alignment vertical="center"/>
    </xf>
    <xf numFmtId="9" fontId="29" fillId="27" borderId="10" xfId="0" applyNumberFormat="1" applyFont="1" applyFill="1" applyBorder="1" applyAlignment="1" applyProtection="1">
      <alignment vertical="center"/>
    </xf>
    <xf numFmtId="177" fontId="126" fillId="27" borderId="144" xfId="0" applyNumberFormat="1" applyFont="1" applyFill="1" applyBorder="1" applyAlignment="1" applyProtection="1">
      <alignment vertical="center"/>
    </xf>
    <xf numFmtId="9" fontId="27" fillId="27" borderId="10" xfId="28" applyFont="1" applyFill="1" applyBorder="1" applyAlignment="1" applyProtection="1">
      <alignment vertical="center"/>
    </xf>
    <xf numFmtId="0" fontId="46" fillId="0" borderId="0" xfId="0" applyFont="1" applyFill="1" applyAlignment="1" applyProtection="1">
      <alignment horizontal="left" vertical="center"/>
    </xf>
    <xf numFmtId="0" fontId="46" fillId="0" borderId="0" xfId="0" applyFont="1" applyAlignment="1">
      <alignment horizontal="left" vertical="center"/>
    </xf>
    <xf numFmtId="0" fontId="68" fillId="0" borderId="53" xfId="0" applyFont="1" applyBorder="1" applyAlignment="1" applyProtection="1">
      <alignment vertical="top" wrapText="1"/>
    </xf>
    <xf numFmtId="0" fontId="68" fillId="0" borderId="0" xfId="0" applyFont="1" applyBorder="1" applyAlignment="1" applyProtection="1">
      <alignment vertical="top" wrapText="1"/>
    </xf>
    <xf numFmtId="176" fontId="29" fillId="0" borderId="0"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horizontal="center" vertical="center"/>
      <protection hidden="1"/>
    </xf>
    <xf numFmtId="176" fontId="38" fillId="0" borderId="0" xfId="0" applyNumberFormat="1" applyFont="1" applyFill="1" applyBorder="1" applyAlignment="1" applyProtection="1">
      <alignment horizontal="left" vertical="top"/>
      <protection hidden="1"/>
    </xf>
    <xf numFmtId="0" fontId="29" fillId="27" borderId="87" xfId="0" applyFont="1" applyFill="1" applyBorder="1" applyAlignment="1">
      <alignment horizontal="left" vertical="center" wrapText="1"/>
    </xf>
    <xf numFmtId="0" fontId="7" fillId="43" borderId="0" xfId="0" applyFont="1" applyFill="1">
      <alignment vertical="center"/>
    </xf>
    <xf numFmtId="0" fontId="29" fillId="42" borderId="163" xfId="0" applyFont="1" applyFill="1" applyBorder="1" applyAlignment="1" applyProtection="1">
      <alignment horizontal="left" vertical="center" wrapText="1"/>
      <protection hidden="1"/>
    </xf>
    <xf numFmtId="0" fontId="29" fillId="42" borderId="163" xfId="0" applyFont="1" applyFill="1" applyBorder="1" applyAlignment="1" applyProtection="1">
      <alignment horizontal="left" vertical="center"/>
      <protection hidden="1"/>
    </xf>
    <xf numFmtId="0" fontId="29" fillId="42" borderId="164" xfId="0" applyFont="1" applyFill="1" applyBorder="1" applyAlignment="1" applyProtection="1">
      <alignment horizontal="left" vertical="center"/>
      <protection hidden="1"/>
    </xf>
    <xf numFmtId="176" fontId="29" fillId="42" borderId="13" xfId="0" applyNumberFormat="1" applyFont="1" applyFill="1" applyBorder="1" applyAlignment="1" applyProtection="1">
      <alignment horizontal="left" vertical="center" wrapText="1"/>
      <protection hidden="1"/>
    </xf>
    <xf numFmtId="0" fontId="29" fillId="42" borderId="13" xfId="0" applyFont="1" applyFill="1" applyBorder="1" applyAlignment="1" applyProtection="1">
      <alignment horizontal="left" vertical="center" wrapText="1"/>
      <protection hidden="1"/>
    </xf>
    <xf numFmtId="0" fontId="29" fillId="42" borderId="13" xfId="0" applyFont="1" applyFill="1" applyBorder="1" applyAlignment="1" applyProtection="1">
      <alignment horizontal="left" vertical="center"/>
      <protection hidden="1"/>
    </xf>
    <xf numFmtId="0" fontId="29" fillId="42" borderId="14" xfId="0" applyFont="1" applyFill="1" applyBorder="1" applyAlignment="1" applyProtection="1">
      <alignment horizontal="left" vertical="center"/>
      <protection hidden="1"/>
    </xf>
    <xf numFmtId="0" fontId="29" fillId="42" borderId="167" xfId="0" applyFont="1" applyFill="1" applyBorder="1" applyAlignment="1" applyProtection="1">
      <alignment horizontal="left" vertical="center"/>
      <protection hidden="1"/>
    </xf>
    <xf numFmtId="176" fontId="29" fillId="42" borderId="169" xfId="0" applyNumberFormat="1" applyFont="1" applyFill="1" applyBorder="1" applyAlignment="1" applyProtection="1">
      <alignment horizontal="left" vertical="center" wrapText="1"/>
      <protection hidden="1"/>
    </xf>
    <xf numFmtId="0" fontId="29" fillId="42" borderId="169" xfId="0" applyFont="1" applyFill="1" applyBorder="1" applyAlignment="1" applyProtection="1">
      <alignment horizontal="left" vertical="center" wrapText="1"/>
      <protection hidden="1"/>
    </xf>
    <xf numFmtId="0" fontId="29" fillId="42" borderId="169" xfId="0" applyFont="1" applyFill="1" applyBorder="1" applyAlignment="1" applyProtection="1">
      <alignment horizontal="left" vertical="center"/>
      <protection hidden="1"/>
    </xf>
    <xf numFmtId="0" fontId="29" fillId="42" borderId="168" xfId="0" applyFont="1" applyFill="1" applyBorder="1" applyAlignment="1" applyProtection="1">
      <alignment horizontal="left" vertical="center"/>
      <protection hidden="1"/>
    </xf>
    <xf numFmtId="0" fontId="29" fillId="27" borderId="173" xfId="0" applyFont="1" applyFill="1" applyBorder="1" applyAlignment="1">
      <alignment horizontal="left" vertical="center" wrapText="1"/>
    </xf>
    <xf numFmtId="0" fontId="28" fillId="0" borderId="0" xfId="0" applyFont="1" applyFill="1" applyAlignment="1" applyProtection="1">
      <alignment vertical="center"/>
      <protection hidden="1"/>
    </xf>
    <xf numFmtId="0" fontId="29" fillId="27" borderId="169" xfId="0" applyFont="1" applyFill="1" applyBorder="1" applyAlignment="1" applyProtection="1">
      <alignment horizontal="left" vertical="top" wrapText="1"/>
      <protection hidden="1"/>
    </xf>
    <xf numFmtId="0" fontId="27" fillId="27" borderId="51" xfId="0" applyFont="1" applyFill="1" applyBorder="1" applyAlignment="1" applyProtection="1">
      <alignment horizontal="center" vertical="center"/>
      <protection hidden="1"/>
    </xf>
    <xf numFmtId="0" fontId="46" fillId="27" borderId="55" xfId="0" applyFont="1" applyFill="1" applyBorder="1" applyAlignment="1" applyProtection="1">
      <alignment vertical="center"/>
      <protection hidden="1"/>
    </xf>
    <xf numFmtId="0" fontId="29" fillId="27" borderId="173" xfId="0" applyFont="1" applyFill="1" applyBorder="1" applyAlignment="1" applyProtection="1">
      <alignment horizontal="center" vertical="center"/>
      <protection hidden="1"/>
    </xf>
    <xf numFmtId="0" fontId="29" fillId="27" borderId="194" xfId="0" applyFont="1" applyFill="1" applyBorder="1" applyAlignment="1" applyProtection="1">
      <alignment horizontal="center" vertical="center"/>
      <protection hidden="1"/>
    </xf>
    <xf numFmtId="0" fontId="29" fillId="27" borderId="193" xfId="0" applyFont="1" applyFill="1" applyBorder="1" applyAlignment="1" applyProtection="1">
      <alignment horizontal="center" vertical="center"/>
      <protection hidden="1"/>
    </xf>
    <xf numFmtId="0" fontId="29" fillId="27" borderId="162" xfId="0" applyFont="1" applyFill="1" applyBorder="1" applyAlignment="1" applyProtection="1">
      <alignment horizontal="center" vertical="center" wrapText="1"/>
      <protection hidden="1"/>
    </xf>
    <xf numFmtId="0" fontId="29" fillId="27" borderId="195" xfId="0" applyFont="1" applyFill="1" applyBorder="1" applyAlignment="1" applyProtection="1">
      <alignment horizontal="center" vertical="center" wrapText="1"/>
      <protection hidden="1"/>
    </xf>
    <xf numFmtId="0" fontId="29" fillId="27" borderId="164" xfId="0" applyFont="1" applyFill="1" applyBorder="1" applyAlignment="1" applyProtection="1">
      <alignment horizontal="center" vertical="center" wrapText="1"/>
      <protection hidden="1"/>
    </xf>
    <xf numFmtId="0" fontId="29" fillId="27" borderId="12" xfId="0" applyFont="1" applyFill="1" applyBorder="1" applyAlignment="1" applyProtection="1">
      <alignment horizontal="center" vertical="center"/>
      <protection hidden="1"/>
    </xf>
    <xf numFmtId="0" fontId="29" fillId="27" borderId="14" xfId="0" applyFont="1" applyFill="1" applyBorder="1" applyAlignment="1" applyProtection="1">
      <alignment horizontal="center" vertical="center"/>
      <protection hidden="1"/>
    </xf>
    <xf numFmtId="0" fontId="29" fillId="27" borderId="167" xfId="0" applyFont="1" applyFill="1" applyBorder="1" applyAlignment="1" applyProtection="1">
      <alignment horizontal="center" vertical="center"/>
      <protection hidden="1"/>
    </xf>
    <xf numFmtId="0" fontId="29" fillId="27" borderId="196" xfId="0" applyFont="1" applyFill="1" applyBorder="1" applyAlignment="1" applyProtection="1">
      <alignment horizontal="center" vertical="center"/>
      <protection hidden="1"/>
    </xf>
    <xf numFmtId="0" fontId="29" fillId="27" borderId="168" xfId="0" applyFont="1" applyFill="1" applyBorder="1" applyAlignment="1" applyProtection="1">
      <alignment horizontal="center" vertical="center"/>
      <protection hidden="1"/>
    </xf>
    <xf numFmtId="0" fontId="46" fillId="27" borderId="51" xfId="0" applyFont="1" applyFill="1" applyBorder="1" applyAlignment="1" applyProtection="1">
      <alignment vertical="center"/>
      <protection hidden="1"/>
    </xf>
    <xf numFmtId="0" fontId="29" fillId="27" borderId="164" xfId="0" applyFont="1" applyFill="1" applyBorder="1" applyAlignment="1" applyProtection="1">
      <alignment horizontal="center" vertical="center"/>
      <protection hidden="1"/>
    </xf>
    <xf numFmtId="0" fontId="29" fillId="0" borderId="53" xfId="0" applyFont="1" applyBorder="1" applyAlignment="1">
      <alignment vertical="center" wrapText="1"/>
    </xf>
    <xf numFmtId="0" fontId="29" fillId="0" borderId="0" xfId="0" applyFont="1" applyBorder="1" applyAlignment="1">
      <alignment horizontal="left" vertical="center" wrapText="1"/>
    </xf>
    <xf numFmtId="193" fontId="29" fillId="0" borderId="0" xfId="35" applyNumberFormat="1" applyFont="1" applyFill="1" applyBorder="1" applyAlignment="1" applyProtection="1">
      <alignment horizontal="center" vertical="center"/>
      <protection hidden="1"/>
    </xf>
    <xf numFmtId="0" fontId="29" fillId="0" borderId="0" xfId="0" applyFont="1" applyBorder="1" applyAlignment="1">
      <alignment horizontal="left" vertical="top" wrapText="1"/>
    </xf>
    <xf numFmtId="176" fontId="29" fillId="27" borderId="13" xfId="0" applyNumberFormat="1" applyFont="1" applyFill="1" applyBorder="1" applyAlignment="1" applyProtection="1">
      <alignment horizontal="left" vertical="center"/>
      <protection hidden="1"/>
    </xf>
    <xf numFmtId="176" fontId="29" fillId="27" borderId="169" xfId="0" applyNumberFormat="1" applyFont="1" applyFill="1" applyBorder="1" applyAlignment="1" applyProtection="1">
      <alignment horizontal="left" vertical="center"/>
      <protection hidden="1"/>
    </xf>
    <xf numFmtId="0" fontId="46" fillId="0" borderId="0" xfId="44" applyFont="1" applyBorder="1" applyAlignment="1"/>
    <xf numFmtId="0" fontId="24" fillId="0" borderId="0" xfId="44" applyFont="1" applyFill="1" applyBorder="1" applyAlignment="1">
      <alignment vertical="center"/>
    </xf>
    <xf numFmtId="0" fontId="126" fillId="0" borderId="0" xfId="44" applyFont="1" applyFill="1" applyBorder="1" applyAlignment="1">
      <alignment vertical="center"/>
    </xf>
    <xf numFmtId="0" fontId="34" fillId="0" borderId="0" xfId="44" applyFont="1" applyBorder="1" applyAlignment="1"/>
    <xf numFmtId="0" fontId="34" fillId="41" borderId="26" xfId="44" applyFont="1" applyFill="1" applyBorder="1" applyAlignment="1">
      <alignment horizontal="left"/>
    </xf>
    <xf numFmtId="0" fontId="34" fillId="41" borderId="50" xfId="44" applyFont="1" applyFill="1" applyBorder="1" applyAlignment="1">
      <alignment horizontal="center"/>
    </xf>
    <xf numFmtId="0" fontId="34" fillId="41" borderId="50" xfId="44" applyFont="1" applyFill="1" applyBorder="1" applyAlignment="1">
      <alignment horizontal="left"/>
    </xf>
    <xf numFmtId="0" fontId="34" fillId="41" borderId="27" xfId="44" applyFont="1" applyFill="1" applyBorder="1" applyAlignment="1"/>
    <xf numFmtId="0" fontId="34" fillId="0" borderId="0" xfId="44" applyFont="1" applyBorder="1" applyAlignment="1">
      <alignment horizontal="left"/>
    </xf>
    <xf numFmtId="0" fontId="34" fillId="0" borderId="0" xfId="44" applyFont="1" applyFill="1" applyBorder="1" applyAlignment="1">
      <alignment vertical="center"/>
    </xf>
    <xf numFmtId="0" fontId="34" fillId="41" borderId="26" xfId="44" applyFont="1" applyFill="1" applyBorder="1" applyAlignment="1" applyProtection="1">
      <alignment horizontal="left" vertical="center"/>
      <protection hidden="1"/>
    </xf>
    <xf numFmtId="0" fontId="34" fillId="41" borderId="27" xfId="44" applyFont="1" applyFill="1" applyBorder="1" applyAlignment="1">
      <alignment horizontal="left"/>
    </xf>
    <xf numFmtId="0" fontId="34" fillId="27" borderId="26" xfId="44" applyFont="1" applyFill="1" applyBorder="1" applyAlignment="1"/>
    <xf numFmtId="0" fontId="34" fillId="27" borderId="50" xfId="44" applyFont="1" applyFill="1" applyBorder="1" applyAlignment="1">
      <alignment horizontal="left"/>
    </xf>
    <xf numFmtId="0" fontId="34" fillId="27" borderId="50" xfId="44" applyFont="1" applyFill="1" applyBorder="1" applyAlignment="1"/>
    <xf numFmtId="0" fontId="34" fillId="27" borderId="27" xfId="44" applyFont="1" applyFill="1" applyBorder="1" applyAlignment="1"/>
    <xf numFmtId="0" fontId="34" fillId="31" borderId="10" xfId="44" applyFont="1" applyFill="1" applyBorder="1" applyAlignment="1">
      <alignment horizontal="center"/>
    </xf>
    <xf numFmtId="0" fontId="34" fillId="41" borderId="10" xfId="44" applyFont="1" applyFill="1" applyBorder="1" applyAlignment="1">
      <alignment horizontal="center"/>
    </xf>
    <xf numFmtId="0" fontId="34" fillId="31" borderId="0" xfId="44" applyFont="1" applyFill="1" applyBorder="1" applyAlignment="1">
      <alignment horizontal="left"/>
    </xf>
    <xf numFmtId="0" fontId="34" fillId="31" borderId="0" xfId="44" applyFont="1" applyFill="1" applyBorder="1" applyAlignment="1">
      <alignment vertical="center"/>
    </xf>
    <xf numFmtId="0" fontId="34" fillId="31" borderId="26" xfId="44" applyFont="1" applyFill="1" applyBorder="1" applyAlignment="1">
      <alignment horizontal="center"/>
    </xf>
    <xf numFmtId="0" fontId="34" fillId="27" borderId="52" xfId="44" applyFont="1" applyFill="1" applyBorder="1" applyAlignment="1"/>
    <xf numFmtId="0" fontId="34" fillId="27" borderId="53" xfId="44" applyFont="1" applyFill="1" applyBorder="1" applyAlignment="1">
      <alignment horizontal="left"/>
    </xf>
    <xf numFmtId="178" fontId="160" fillId="0" borderId="10" xfId="44" applyNumberFormat="1" applyFont="1" applyFill="1" applyBorder="1" applyAlignment="1"/>
    <xf numFmtId="0" fontId="34" fillId="27" borderId="64" xfId="44" applyFont="1" applyFill="1" applyBorder="1" applyAlignment="1"/>
    <xf numFmtId="9" fontId="34" fillId="27" borderId="27" xfId="44" applyNumberFormat="1" applyFont="1" applyFill="1" applyBorder="1" applyAlignment="1"/>
    <xf numFmtId="178" fontId="34" fillId="0" borderId="10" xfId="44" applyNumberFormat="1" applyFont="1" applyFill="1" applyBorder="1" applyAlignment="1"/>
    <xf numFmtId="0" fontId="34" fillId="31" borderId="52" xfId="44" applyFont="1" applyFill="1" applyBorder="1" applyAlignment="1">
      <alignment horizontal="center"/>
    </xf>
    <xf numFmtId="0" fontId="34" fillId="31" borderId="64" xfId="44" applyFont="1" applyFill="1" applyBorder="1" applyAlignment="1"/>
    <xf numFmtId="0" fontId="34" fillId="31" borderId="17" xfId="44" applyFont="1" applyFill="1" applyBorder="1" applyAlignment="1">
      <alignment horizontal="left"/>
    </xf>
    <xf numFmtId="0" fontId="34" fillId="31" borderId="26" xfId="0" applyFont="1" applyFill="1" applyBorder="1">
      <alignment vertical="center"/>
    </xf>
    <xf numFmtId="9" fontId="34" fillId="31" borderId="27" xfId="44" applyNumberFormat="1" applyFont="1" applyFill="1" applyBorder="1" applyAlignment="1"/>
    <xf numFmtId="0" fontId="34" fillId="31" borderId="15" xfId="44" applyFont="1" applyFill="1" applyBorder="1" applyAlignment="1">
      <alignment horizontal="center"/>
    </xf>
    <xf numFmtId="0" fontId="34" fillId="31" borderId="55" xfId="44" applyFont="1" applyFill="1" applyBorder="1" applyAlignment="1">
      <alignment horizontal="center"/>
    </xf>
    <xf numFmtId="0" fontId="34" fillId="31" borderId="56" xfId="44" applyFont="1" applyFill="1" applyBorder="1" applyAlignment="1"/>
    <xf numFmtId="0" fontId="34" fillId="31" borderId="57" xfId="44" applyFont="1" applyFill="1" applyBorder="1" applyAlignment="1">
      <alignment horizontal="left"/>
    </xf>
    <xf numFmtId="0" fontId="34" fillId="31" borderId="0" xfId="44" applyFont="1" applyFill="1" applyBorder="1" applyAlignment="1">
      <alignment horizontal="center"/>
    </xf>
    <xf numFmtId="0" fontId="34" fillId="0" borderId="53" xfId="44" applyFont="1" applyBorder="1" applyAlignment="1"/>
    <xf numFmtId="0" fontId="34" fillId="27" borderId="10" xfId="44" applyFont="1" applyFill="1" applyBorder="1" applyAlignment="1">
      <alignment horizontal="center"/>
    </xf>
    <xf numFmtId="0" fontId="34" fillId="27" borderId="53" xfId="44" applyFont="1" applyFill="1" applyBorder="1" applyAlignment="1"/>
    <xf numFmtId="190" fontId="34" fillId="27" borderId="54" xfId="44" applyNumberFormat="1" applyFont="1" applyFill="1" applyBorder="1" applyAlignment="1">
      <alignment horizontal="left"/>
    </xf>
    <xf numFmtId="0" fontId="34" fillId="27" borderId="0" xfId="44" applyFont="1" applyFill="1" applyBorder="1" applyAlignment="1">
      <alignment horizontal="center"/>
    </xf>
    <xf numFmtId="40" fontId="34" fillId="0" borderId="10" xfId="35" applyNumberFormat="1" applyFont="1" applyFill="1" applyBorder="1" applyAlignment="1"/>
    <xf numFmtId="9" fontId="34" fillId="31" borderId="50" xfId="0" applyNumberFormat="1" applyFont="1" applyFill="1" applyBorder="1">
      <alignment vertical="center"/>
    </xf>
    <xf numFmtId="9" fontId="34" fillId="31" borderId="15" xfId="44" applyNumberFormat="1" applyFont="1" applyFill="1" applyBorder="1" applyAlignment="1">
      <alignment horizontal="center"/>
    </xf>
    <xf numFmtId="0" fontId="34" fillId="27" borderId="56" xfId="44" applyFont="1" applyFill="1" applyBorder="1" applyAlignment="1"/>
    <xf numFmtId="40" fontId="34" fillId="0" borderId="51" xfId="35" applyNumberFormat="1" applyFont="1" applyFill="1" applyBorder="1" applyAlignment="1"/>
    <xf numFmtId="0" fontId="34" fillId="27" borderId="50" xfId="44" applyFont="1" applyFill="1" applyBorder="1" applyAlignment="1">
      <alignment horizontal="center"/>
    </xf>
    <xf numFmtId="9" fontId="34" fillId="31" borderId="53" xfId="0" applyNumberFormat="1" applyFont="1" applyFill="1" applyBorder="1">
      <alignment vertical="center"/>
    </xf>
    <xf numFmtId="40" fontId="34" fillId="25" borderId="51" xfId="35" applyNumberFormat="1" applyFont="1" applyFill="1" applyBorder="1" applyAlignment="1"/>
    <xf numFmtId="0" fontId="34" fillId="0" borderId="53" xfId="44" applyFont="1" applyBorder="1" applyAlignment="1">
      <alignment horizontal="left"/>
    </xf>
    <xf numFmtId="0" fontId="34" fillId="0" borderId="52" xfId="44" applyFont="1" applyBorder="1" applyAlignment="1"/>
    <xf numFmtId="0" fontId="34" fillId="0" borderId="54" xfId="44" applyFont="1" applyBorder="1" applyAlignment="1"/>
    <xf numFmtId="0" fontId="29" fillId="0" borderId="0" xfId="44" applyFont="1" applyBorder="1" applyAlignment="1"/>
    <xf numFmtId="0" fontId="34" fillId="0" borderId="17" xfId="44" applyFont="1" applyBorder="1" applyAlignment="1"/>
    <xf numFmtId="0" fontId="34" fillId="0" borderId="64" xfId="44" applyFont="1" applyBorder="1" applyAlignment="1"/>
    <xf numFmtId="0" fontId="29" fillId="0" borderId="56" xfId="44" applyFont="1" applyBorder="1" applyAlignment="1"/>
    <xf numFmtId="0" fontId="34" fillId="0" borderId="57" xfId="44" applyFont="1" applyBorder="1" applyAlignment="1"/>
    <xf numFmtId="0" fontId="34" fillId="0" borderId="58" xfId="44" applyFont="1" applyBorder="1" applyAlignment="1"/>
    <xf numFmtId="200" fontId="34" fillId="0" borderId="0" xfId="44" applyNumberFormat="1" applyFont="1" applyBorder="1" applyAlignment="1"/>
    <xf numFmtId="0" fontId="34" fillId="0" borderId="10" xfId="44" applyFont="1" applyBorder="1" applyAlignment="1"/>
    <xf numFmtId="190" fontId="34" fillId="27" borderId="27" xfId="44" applyNumberFormat="1" applyFont="1" applyFill="1" applyBorder="1" applyAlignment="1">
      <alignment horizontal="left"/>
    </xf>
    <xf numFmtId="9" fontId="34" fillId="0" borderId="10" xfId="28" applyFont="1" applyFill="1" applyBorder="1" applyAlignment="1"/>
    <xf numFmtId="0" fontId="34" fillId="0" borderId="10" xfId="44" applyFont="1" applyFill="1" applyBorder="1" applyAlignment="1"/>
    <xf numFmtId="0" fontId="24" fillId="0" borderId="0" xfId="44" applyFont="1" applyBorder="1" applyAlignment="1"/>
    <xf numFmtId="0" fontId="34" fillId="0" borderId="0" xfId="44" applyFont="1" applyFill="1" applyBorder="1" applyAlignment="1" applyProtection="1">
      <alignment horizontal="left" vertical="center"/>
      <protection hidden="1"/>
    </xf>
    <xf numFmtId="0" fontId="34" fillId="0" borderId="0" xfId="44" applyFont="1" applyFill="1" applyBorder="1" applyAlignment="1">
      <alignment horizontal="left"/>
    </xf>
    <xf numFmtId="38" fontId="34" fillId="0" borderId="10" xfId="35" applyFont="1" applyBorder="1" applyAlignment="1"/>
    <xf numFmtId="38" fontId="34" fillId="0" borderId="0" xfId="35" applyFont="1" applyBorder="1" applyAlignment="1"/>
    <xf numFmtId="0" fontId="34" fillId="27" borderId="10" xfId="0" applyFont="1" applyFill="1" applyBorder="1" applyAlignment="1">
      <alignment vertical="center"/>
    </xf>
    <xf numFmtId="189" fontId="34" fillId="0" borderId="10" xfId="44" applyNumberFormat="1" applyFont="1" applyFill="1" applyBorder="1" applyAlignment="1"/>
    <xf numFmtId="0" fontId="34" fillId="0" borderId="0" xfId="44" applyFont="1" applyFill="1" applyBorder="1" applyAlignment="1"/>
    <xf numFmtId="0" fontId="46" fillId="0" borderId="57" xfId="0" applyFont="1" applyBorder="1">
      <alignment vertical="center"/>
    </xf>
    <xf numFmtId="0" fontId="0" fillId="0" borderId="57" xfId="0" applyBorder="1">
      <alignment vertical="center"/>
    </xf>
    <xf numFmtId="0" fontId="27" fillId="0" borderId="0" xfId="0" applyFont="1" applyAlignment="1">
      <alignment horizontal="right" vertical="center"/>
    </xf>
    <xf numFmtId="0" fontId="34" fillId="27" borderId="10" xfId="0" applyFont="1" applyFill="1" applyBorder="1" applyAlignment="1">
      <alignment horizontal="center" vertical="center" wrapText="1"/>
    </xf>
    <xf numFmtId="0" fontId="34" fillId="27" borderId="10" xfId="0" applyFont="1" applyFill="1" applyBorder="1" applyAlignment="1">
      <alignment horizontal="center" vertical="center"/>
    </xf>
    <xf numFmtId="0" fontId="34" fillId="27" borderId="51" xfId="0" applyFont="1" applyFill="1" applyBorder="1" applyAlignment="1">
      <alignment horizontal="center" vertical="center" wrapText="1"/>
    </xf>
    <xf numFmtId="191" fontId="34" fillId="27" borderId="10" xfId="0" applyNumberFormat="1" applyFont="1" applyFill="1" applyBorder="1" applyAlignment="1">
      <alignment horizontal="center" vertical="center"/>
    </xf>
    <xf numFmtId="0" fontId="34" fillId="27" borderId="55" xfId="0" applyFont="1" applyFill="1" applyBorder="1" applyAlignment="1">
      <alignment horizontal="center" vertical="center"/>
    </xf>
    <xf numFmtId="0" fontId="34" fillId="27" borderId="27" xfId="0" applyFont="1" applyFill="1" applyBorder="1" applyAlignment="1">
      <alignment horizontal="center" vertical="center" wrapText="1"/>
    </xf>
    <xf numFmtId="198" fontId="34" fillId="27" borderId="10" xfId="0" applyNumberFormat="1" applyFont="1" applyFill="1" applyBorder="1" applyAlignment="1">
      <alignment horizontal="center" vertical="center"/>
    </xf>
    <xf numFmtId="0" fontId="34" fillId="27" borderId="10" xfId="0" applyFont="1" applyFill="1" applyBorder="1" applyAlignment="1">
      <alignment vertical="center" wrapText="1"/>
    </xf>
    <xf numFmtId="0" fontId="34" fillId="27" borderId="15" xfId="0" applyFont="1" applyFill="1" applyBorder="1" applyAlignment="1">
      <alignment horizontal="center" vertical="center" wrapText="1"/>
    </xf>
    <xf numFmtId="179" fontId="34" fillId="27" borderId="10" xfId="0" applyNumberFormat="1" applyFont="1" applyFill="1" applyBorder="1" applyAlignment="1">
      <alignment horizontal="center" vertical="center"/>
    </xf>
    <xf numFmtId="0" fontId="34" fillId="27" borderId="10" xfId="0" applyFont="1" applyFill="1" applyBorder="1" applyAlignment="1" applyProtection="1">
      <alignment vertical="center" wrapText="1"/>
    </xf>
    <xf numFmtId="0" fontId="34" fillId="27" borderId="10" xfId="0" applyFont="1" applyFill="1" applyBorder="1" applyAlignment="1">
      <alignment horizontal="left" vertical="center" wrapText="1"/>
    </xf>
    <xf numFmtId="0" fontId="34" fillId="27" borderId="10" xfId="0" applyFont="1" applyFill="1" applyBorder="1" applyAlignment="1">
      <alignment horizontal="left" vertical="center" wrapText="1" shrinkToFit="1"/>
    </xf>
    <xf numFmtId="0" fontId="34" fillId="27" borderId="10" xfId="0" applyFont="1" applyFill="1" applyBorder="1" applyAlignment="1">
      <alignment horizontal="center" vertical="center" wrapText="1" shrinkToFit="1"/>
    </xf>
    <xf numFmtId="0" fontId="34" fillId="27" borderId="51" xfId="0" applyFont="1" applyFill="1" applyBorder="1" applyAlignment="1">
      <alignment horizontal="left" vertical="center" wrapText="1"/>
    </xf>
    <xf numFmtId="0" fontId="34" fillId="27" borderId="51" xfId="0" applyFont="1" applyFill="1" applyBorder="1" applyAlignment="1">
      <alignment horizontal="center" vertical="center" wrapText="1" shrinkToFit="1"/>
    </xf>
    <xf numFmtId="0" fontId="34" fillId="27" borderId="51" xfId="0" applyFont="1" applyFill="1" applyBorder="1" applyAlignment="1">
      <alignment vertical="center" wrapText="1"/>
    </xf>
    <xf numFmtId="0" fontId="34" fillId="27" borderId="64" xfId="0" applyFont="1" applyFill="1" applyBorder="1" applyAlignment="1">
      <alignment horizontal="center" vertical="center" wrapText="1"/>
    </xf>
    <xf numFmtId="0" fontId="34" fillId="27" borderId="26" xfId="0" applyFont="1" applyFill="1" applyBorder="1" applyAlignment="1">
      <alignment horizontal="left" vertical="center"/>
    </xf>
    <xf numFmtId="0" fontId="34" fillId="27" borderId="50" xfId="0" applyFont="1" applyFill="1" applyBorder="1" applyAlignment="1">
      <alignment horizontal="left" vertical="center" wrapText="1"/>
    </xf>
    <xf numFmtId="0" fontId="34" fillId="27" borderId="50" xfId="0" applyFont="1" applyFill="1" applyBorder="1" applyAlignment="1">
      <alignment horizontal="left" vertical="center" wrapText="1" shrinkToFit="1"/>
    </xf>
    <xf numFmtId="0" fontId="34" fillId="27" borderId="27" xfId="0" applyFont="1" applyFill="1" applyBorder="1" applyAlignment="1">
      <alignment vertical="center" wrapText="1"/>
    </xf>
    <xf numFmtId="0" fontId="34" fillId="27" borderId="165" xfId="0" applyFont="1" applyFill="1" applyBorder="1" applyAlignment="1">
      <alignment horizontal="center" vertical="center" wrapText="1"/>
    </xf>
    <xf numFmtId="40" fontId="34" fillId="27" borderId="165" xfId="0" applyNumberFormat="1" applyFont="1" applyFill="1" applyBorder="1" applyAlignment="1">
      <alignment horizontal="center" vertical="center" wrapText="1"/>
    </xf>
    <xf numFmtId="178" fontId="34" fillId="27" borderId="165" xfId="0" applyNumberFormat="1" applyFont="1" applyFill="1" applyBorder="1" applyAlignment="1">
      <alignment horizontal="center" vertical="center" wrapText="1" shrinkToFit="1"/>
    </xf>
    <xf numFmtId="0" fontId="34" fillId="27" borderId="16" xfId="0" applyFont="1" applyFill="1" applyBorder="1" applyAlignment="1" applyProtection="1">
      <alignment vertical="center" wrapText="1"/>
    </xf>
    <xf numFmtId="0" fontId="34" fillId="27" borderId="11" xfId="0" applyFont="1" applyFill="1" applyBorder="1" applyAlignment="1">
      <alignment horizontal="center" vertical="center" wrapText="1"/>
    </xf>
    <xf numFmtId="40" fontId="34" fillId="27" borderId="11" xfId="0" applyNumberFormat="1" applyFont="1" applyFill="1" applyBorder="1" applyAlignment="1">
      <alignment horizontal="center" vertical="center" wrapText="1"/>
    </xf>
    <xf numFmtId="178" fontId="34" fillId="27" borderId="11" xfId="0" applyNumberFormat="1" applyFont="1" applyFill="1" applyBorder="1" applyAlignment="1">
      <alignment horizontal="center" vertical="center" wrapText="1" shrinkToFit="1"/>
    </xf>
    <xf numFmtId="0" fontId="34" fillId="27" borderId="165" xfId="0" applyFont="1" applyFill="1" applyBorder="1" applyAlignment="1" applyProtection="1">
      <alignment vertical="center" wrapText="1"/>
    </xf>
    <xf numFmtId="0" fontId="34" fillId="27" borderId="11" xfId="0" applyFont="1" applyFill="1" applyBorder="1" applyAlignment="1" applyProtection="1">
      <alignment vertical="center" wrapText="1"/>
    </xf>
    <xf numFmtId="0" fontId="34" fillId="27" borderId="175" xfId="0" applyFont="1" applyFill="1" applyBorder="1" applyAlignment="1">
      <alignment horizontal="center" vertical="center" wrapText="1"/>
    </xf>
    <xf numFmtId="0" fontId="34" fillId="27" borderId="175" xfId="0" applyFont="1" applyFill="1" applyBorder="1" applyAlignment="1">
      <alignment horizontal="center" vertical="center" wrapText="1" shrinkToFit="1"/>
    </xf>
    <xf numFmtId="0" fontId="34" fillId="27" borderId="175" xfId="0" applyFont="1" applyFill="1" applyBorder="1" applyAlignment="1" applyProtection="1">
      <alignment vertical="center" wrapText="1"/>
    </xf>
    <xf numFmtId="0" fontId="34" fillId="27" borderId="27" xfId="0" applyFont="1" applyFill="1" applyBorder="1" applyAlignment="1" applyProtection="1">
      <alignment vertical="center" wrapText="1"/>
    </xf>
    <xf numFmtId="0" fontId="34" fillId="27" borderId="53" xfId="0" applyFont="1" applyFill="1" applyBorder="1" applyAlignment="1">
      <alignment horizontal="left" vertical="center" wrapText="1" shrinkToFit="1"/>
    </xf>
    <xf numFmtId="0" fontId="34" fillId="27" borderId="54" xfId="0" applyFont="1" applyFill="1" applyBorder="1" applyAlignment="1">
      <alignment vertical="center"/>
    </xf>
    <xf numFmtId="9" fontId="34" fillId="27" borderId="173" xfId="0" applyNumberFormat="1" applyFont="1" applyFill="1" applyBorder="1" applyAlignment="1">
      <alignment horizontal="center" vertical="center" wrapText="1"/>
    </xf>
    <xf numFmtId="9" fontId="34" fillId="41" borderId="197" xfId="0" applyNumberFormat="1" applyFont="1" applyFill="1" applyBorder="1" applyAlignment="1" applyProtection="1">
      <alignment horizontal="center" vertical="center" wrapText="1"/>
      <protection locked="0"/>
    </xf>
    <xf numFmtId="0" fontId="34" fillId="41" borderId="198" xfId="0" applyFont="1" applyFill="1" applyBorder="1" applyAlignment="1" applyProtection="1">
      <alignment vertical="center"/>
      <protection locked="0"/>
    </xf>
    <xf numFmtId="9" fontId="34" fillId="41" borderId="116" xfId="0" applyNumberFormat="1" applyFont="1" applyFill="1" applyBorder="1" applyAlignment="1" applyProtection="1">
      <alignment horizontal="center" vertical="center" wrapText="1"/>
      <protection locked="0"/>
    </xf>
    <xf numFmtId="0" fontId="34" fillId="41" borderId="117" xfId="0" applyFont="1" applyFill="1" applyBorder="1" applyAlignment="1" applyProtection="1">
      <alignment vertical="center"/>
      <protection locked="0"/>
    </xf>
    <xf numFmtId="0" fontId="34" fillId="27" borderId="165" xfId="0" applyFont="1" applyFill="1" applyBorder="1" applyAlignment="1">
      <alignment vertical="center" wrapText="1"/>
    </xf>
    <xf numFmtId="0" fontId="34" fillId="27" borderId="166" xfId="0" applyFont="1" applyFill="1" applyBorder="1" applyAlignment="1">
      <alignment horizontal="center" vertical="center" wrapText="1"/>
    </xf>
    <xf numFmtId="9" fontId="34" fillId="27" borderId="167" xfId="0" applyNumberFormat="1" applyFont="1" applyFill="1" applyBorder="1" applyAlignment="1">
      <alignment horizontal="center" vertical="center" wrapText="1" shrinkToFit="1"/>
    </xf>
    <xf numFmtId="0" fontId="34" fillId="27" borderId="15" xfId="0" applyFont="1" applyFill="1" applyBorder="1" applyAlignment="1">
      <alignment vertical="center" wrapText="1"/>
    </xf>
    <xf numFmtId="0" fontId="34" fillId="27" borderId="54" xfId="0" applyFont="1" applyFill="1" applyBorder="1" applyAlignment="1">
      <alignment horizontal="center" vertical="center" wrapText="1"/>
    </xf>
    <xf numFmtId="179" fontId="34" fillId="27" borderId="51" xfId="0" applyNumberFormat="1" applyFont="1" applyFill="1" applyBorder="1" applyAlignment="1">
      <alignment horizontal="center" vertical="center"/>
    </xf>
    <xf numFmtId="179" fontId="34" fillId="27" borderId="15" xfId="0" applyNumberFormat="1" applyFont="1" applyFill="1" applyBorder="1" applyAlignment="1">
      <alignment horizontal="center" vertical="center"/>
    </xf>
    <xf numFmtId="0" fontId="34" fillId="27" borderId="26" xfId="0" applyFont="1" applyFill="1" applyBorder="1" applyAlignment="1">
      <alignment horizontal="center" vertical="center" wrapText="1"/>
    </xf>
    <xf numFmtId="0" fontId="34" fillId="27" borderId="50" xfId="0" applyFont="1" applyFill="1" applyBorder="1" applyAlignment="1">
      <alignment horizontal="center" vertical="center"/>
    </xf>
    <xf numFmtId="0" fontId="34" fillId="27" borderId="58" xfId="0" applyFont="1" applyFill="1" applyBorder="1" applyAlignment="1">
      <alignment horizontal="center" vertical="center" wrapText="1"/>
    </xf>
    <xf numFmtId="198" fontId="34" fillId="27" borderId="15" xfId="0" applyNumberFormat="1" applyFont="1" applyFill="1" applyBorder="1" applyAlignment="1">
      <alignment horizontal="center" vertical="center"/>
    </xf>
    <xf numFmtId="198" fontId="34" fillId="27" borderId="11" xfId="0" applyNumberFormat="1" applyFont="1" applyFill="1" applyBorder="1" applyAlignment="1">
      <alignment horizontal="center" vertical="center"/>
    </xf>
    <xf numFmtId="0" fontId="34" fillId="27" borderId="11" xfId="0" applyFont="1" applyFill="1" applyBorder="1" applyAlignment="1">
      <alignment vertical="center" wrapText="1"/>
    </xf>
    <xf numFmtId="9" fontId="34" fillId="27" borderId="15" xfId="0" applyNumberFormat="1" applyFont="1" applyFill="1" applyBorder="1" applyAlignment="1">
      <alignment horizontal="center" vertical="center"/>
    </xf>
    <xf numFmtId="0" fontId="34" fillId="27" borderId="15" xfId="0" applyFont="1" applyFill="1" applyBorder="1" applyAlignment="1">
      <alignment vertical="center"/>
    </xf>
    <xf numFmtId="9" fontId="34" fillId="27" borderId="11" xfId="0" applyNumberFormat="1" applyFont="1" applyFill="1" applyBorder="1" applyAlignment="1">
      <alignment horizontal="center" vertical="center"/>
    </xf>
    <xf numFmtId="0" fontId="34" fillId="27" borderId="11" xfId="0" applyFont="1" applyFill="1" applyBorder="1" applyAlignment="1">
      <alignment vertical="center"/>
    </xf>
    <xf numFmtId="9" fontId="34" fillId="27" borderId="55" xfId="0" applyNumberFormat="1" applyFont="1" applyFill="1" applyBorder="1" applyAlignment="1">
      <alignment horizontal="center" vertical="center"/>
    </xf>
    <xf numFmtId="0" fontId="34" fillId="27" borderId="55" xfId="0" applyFont="1" applyFill="1" applyBorder="1" applyAlignment="1">
      <alignment vertical="center"/>
    </xf>
    <xf numFmtId="0" fontId="34" fillId="27" borderId="55" xfId="0" applyFont="1" applyFill="1" applyBorder="1" applyAlignment="1">
      <alignment horizontal="center" vertical="center" wrapText="1"/>
    </xf>
    <xf numFmtId="0" fontId="34" fillId="27" borderId="50" xfId="0" applyFont="1" applyFill="1" applyBorder="1" applyAlignment="1">
      <alignment horizontal="center" vertical="center" wrapText="1"/>
    </xf>
    <xf numFmtId="0" fontId="34" fillId="27" borderId="27" xfId="0" applyFont="1" applyFill="1" applyBorder="1" applyAlignment="1">
      <alignment vertical="center"/>
    </xf>
    <xf numFmtId="179" fontId="34" fillId="27" borderId="165" xfId="0" quotePrefix="1" applyNumberFormat="1" applyFont="1" applyFill="1" applyBorder="1" applyAlignment="1">
      <alignment horizontal="center" vertical="center"/>
    </xf>
    <xf numFmtId="178" fontId="34" fillId="27" borderId="165" xfId="0" applyNumberFormat="1" applyFont="1" applyFill="1" applyBorder="1" applyAlignment="1">
      <alignment horizontal="center" vertical="center"/>
    </xf>
    <xf numFmtId="179" fontId="34" fillId="27" borderId="11" xfId="0" applyNumberFormat="1" applyFont="1" applyFill="1" applyBorder="1" applyAlignment="1">
      <alignment horizontal="center" vertical="center" wrapText="1"/>
    </xf>
    <xf numFmtId="179" fontId="34" fillId="27" borderId="11" xfId="0" applyNumberFormat="1" applyFont="1" applyFill="1" applyBorder="1" applyAlignment="1">
      <alignment horizontal="center" vertical="center"/>
    </xf>
    <xf numFmtId="0" fontId="34" fillId="27" borderId="11" xfId="0" applyFont="1" applyFill="1" applyBorder="1" applyAlignment="1" applyProtection="1">
      <alignment vertical="center" wrapText="1"/>
      <protection locked="0"/>
    </xf>
    <xf numFmtId="179" fontId="34" fillId="27" borderId="15" xfId="0" applyNumberFormat="1" applyFont="1" applyFill="1" applyBorder="1" applyAlignment="1">
      <alignment horizontal="right" vertical="center" wrapText="1"/>
    </xf>
    <xf numFmtId="179" fontId="34" fillId="27" borderId="165" xfId="0" applyNumberFormat="1" applyFont="1" applyFill="1" applyBorder="1" applyAlignment="1">
      <alignment horizontal="right" vertical="center" wrapText="1"/>
    </xf>
    <xf numFmtId="179" fontId="34" fillId="27" borderId="165" xfId="0" applyNumberFormat="1" applyFont="1" applyFill="1" applyBorder="1" applyAlignment="1">
      <alignment horizontal="center" vertical="center"/>
    </xf>
    <xf numFmtId="0" fontId="34" fillId="27" borderId="165" xfId="0" applyFont="1" applyFill="1" applyBorder="1" applyAlignment="1" applyProtection="1">
      <alignment vertical="center" wrapText="1"/>
      <protection locked="0"/>
    </xf>
    <xf numFmtId="179" fontId="34" fillId="27" borderId="55" xfId="0" applyNumberFormat="1" applyFont="1" applyFill="1" applyBorder="1" applyAlignment="1">
      <alignment horizontal="center" vertical="center"/>
    </xf>
    <xf numFmtId="179" fontId="34" fillId="27" borderId="55" xfId="0" quotePrefix="1" applyNumberFormat="1" applyFont="1" applyFill="1" applyBorder="1" applyAlignment="1">
      <alignment horizontal="center" vertical="center"/>
    </xf>
    <xf numFmtId="0" fontId="34" fillId="27" borderId="55" xfId="0" applyFont="1" applyFill="1" applyBorder="1" applyAlignment="1" applyProtection="1">
      <alignment vertical="center" wrapText="1"/>
    </xf>
    <xf numFmtId="0" fontId="34" fillId="27" borderId="16" xfId="0" applyFont="1" applyFill="1" applyBorder="1" applyAlignment="1">
      <alignment horizontal="center" vertical="center" wrapText="1"/>
    </xf>
    <xf numFmtId="179" fontId="34" fillId="27" borderId="15" xfId="0" quotePrefix="1" applyNumberFormat="1" applyFont="1" applyFill="1" applyBorder="1" applyAlignment="1">
      <alignment horizontal="center" vertical="center"/>
    </xf>
    <xf numFmtId="0" fontId="34" fillId="27" borderId="15" xfId="0" applyFont="1" applyFill="1" applyBorder="1" applyAlignment="1" applyProtection="1">
      <alignment vertical="center" wrapText="1"/>
    </xf>
    <xf numFmtId="0" fontId="34" fillId="27" borderId="11" xfId="0" applyFont="1" applyFill="1" applyBorder="1" applyAlignment="1">
      <alignment horizontal="left" vertical="center" wrapText="1"/>
    </xf>
    <xf numFmtId="179" fontId="34" fillId="27" borderId="11" xfId="0" quotePrefix="1" applyNumberFormat="1" applyFont="1" applyFill="1" applyBorder="1" applyAlignment="1">
      <alignment horizontal="center" vertical="center"/>
    </xf>
    <xf numFmtId="179" fontId="34" fillId="27" borderId="55" xfId="0" applyNumberFormat="1" applyFont="1" applyFill="1" applyBorder="1" applyAlignment="1">
      <alignment horizontal="left" vertical="center" wrapText="1"/>
    </xf>
    <xf numFmtId="38" fontId="34" fillId="27" borderId="51" xfId="35" applyFont="1" applyFill="1" applyBorder="1" applyAlignment="1">
      <alignment horizontal="center" vertical="center" wrapText="1"/>
    </xf>
    <xf numFmtId="0" fontId="34" fillId="27" borderId="51" xfId="0" applyFont="1" applyFill="1" applyBorder="1" applyAlignment="1">
      <alignment vertical="center"/>
    </xf>
    <xf numFmtId="0" fontId="34" fillId="27" borderId="26" xfId="0" applyFont="1" applyFill="1" applyBorder="1" applyAlignment="1">
      <alignment vertical="center"/>
    </xf>
    <xf numFmtId="0" fontId="34" fillId="27" borderId="193" xfId="0" applyFont="1" applyFill="1" applyBorder="1" applyAlignment="1">
      <alignment horizontal="center" vertical="center" shrinkToFit="1"/>
    </xf>
    <xf numFmtId="200" fontId="34" fillId="27" borderId="165" xfId="0" applyNumberFormat="1" applyFont="1" applyFill="1" applyBorder="1" applyAlignment="1">
      <alignment horizontal="center" vertical="center"/>
    </xf>
    <xf numFmtId="0" fontId="34" fillId="27" borderId="165" xfId="0" applyFont="1" applyFill="1" applyBorder="1" applyAlignment="1">
      <alignment horizontal="center" vertical="center"/>
    </xf>
    <xf numFmtId="0" fontId="34" fillId="27" borderId="14" xfId="0" applyFont="1" applyFill="1" applyBorder="1" applyAlignment="1">
      <alignment horizontal="center" vertical="center"/>
    </xf>
    <xf numFmtId="0" fontId="34" fillId="27" borderId="11" xfId="0" applyFont="1" applyFill="1" applyBorder="1" applyAlignment="1">
      <alignment horizontal="center" vertical="center"/>
    </xf>
    <xf numFmtId="0" fontId="34" fillId="27" borderId="168" xfId="0" applyFont="1" applyFill="1" applyBorder="1" applyAlignment="1">
      <alignment horizontal="center" vertical="center" wrapText="1"/>
    </xf>
    <xf numFmtId="0" fontId="34" fillId="27" borderId="166" xfId="0" applyFont="1" applyFill="1" applyBorder="1" applyAlignment="1">
      <alignment horizontal="center" vertical="center"/>
    </xf>
    <xf numFmtId="0" fontId="34" fillId="27" borderId="166" xfId="0" applyFont="1" applyFill="1" applyBorder="1" applyAlignment="1" applyProtection="1">
      <alignment vertical="center" wrapText="1"/>
      <protection locked="0"/>
    </xf>
    <xf numFmtId="0" fontId="34" fillId="27" borderId="0" xfId="0" applyFont="1" applyFill="1" applyBorder="1" applyAlignment="1">
      <alignment horizontal="center" vertical="center" wrapText="1"/>
    </xf>
    <xf numFmtId="0" fontId="34" fillId="41" borderId="55" xfId="0" applyFont="1" applyFill="1" applyBorder="1" applyAlignment="1" applyProtection="1">
      <alignment horizontal="center" vertical="center"/>
      <protection locked="0"/>
    </xf>
    <xf numFmtId="0" fontId="34" fillId="41" borderId="55" xfId="0" applyFont="1" applyFill="1" applyBorder="1" applyAlignment="1" applyProtection="1">
      <alignment vertical="center"/>
      <protection locked="0"/>
    </xf>
    <xf numFmtId="0" fontId="34" fillId="41" borderId="10" xfId="0" applyFont="1" applyFill="1" applyBorder="1" applyAlignment="1" applyProtection="1">
      <alignment horizontal="center" vertical="center"/>
      <protection locked="0"/>
    </xf>
    <xf numFmtId="0" fontId="34" fillId="41" borderId="10" xfId="0" applyFont="1" applyFill="1" applyBorder="1" applyAlignment="1" applyProtection="1">
      <alignment vertical="center"/>
      <protection locked="0"/>
    </xf>
    <xf numFmtId="198" fontId="34" fillId="41" borderId="10"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vertical="center" wrapText="1"/>
      <protection locked="0"/>
    </xf>
    <xf numFmtId="179" fontId="34" fillId="41" borderId="10"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horizontal="left" vertical="center" wrapText="1"/>
      <protection locked="0"/>
    </xf>
    <xf numFmtId="0" fontId="34" fillId="41" borderId="10" xfId="0" applyFont="1" applyFill="1" applyBorder="1" applyAlignment="1" applyProtection="1">
      <alignment horizontal="left" vertical="center" wrapText="1" shrinkToFit="1"/>
      <protection locked="0"/>
    </xf>
    <xf numFmtId="0" fontId="34" fillId="41" borderId="10" xfId="0" applyFont="1" applyFill="1" applyBorder="1" applyAlignment="1" applyProtection="1">
      <alignment horizontal="center" vertical="center" wrapText="1" shrinkToFit="1"/>
      <protection locked="0"/>
    </xf>
    <xf numFmtId="0" fontId="34" fillId="41" borderId="16" xfId="0" applyFont="1" applyFill="1" applyBorder="1" applyAlignment="1" applyProtection="1">
      <alignment horizontal="center" vertical="center" wrapText="1"/>
      <protection locked="0"/>
    </xf>
    <xf numFmtId="0" fontId="34" fillId="41" borderId="16" xfId="0" applyFont="1" applyFill="1" applyBorder="1" applyAlignment="1" applyProtection="1">
      <alignment horizontal="center" vertical="center" wrapText="1" shrinkToFit="1"/>
      <protection locked="0"/>
    </xf>
    <xf numFmtId="0" fontId="34" fillId="41" borderId="16" xfId="0" applyFont="1" applyFill="1" applyBorder="1" applyAlignment="1" applyProtection="1">
      <alignment vertical="center" wrapText="1"/>
      <protection locked="0"/>
    </xf>
    <xf numFmtId="0" fontId="34" fillId="27" borderId="11" xfId="0" applyFont="1" applyFill="1" applyBorder="1" applyAlignment="1">
      <alignment horizontal="center" vertical="center" shrinkToFit="1"/>
    </xf>
    <xf numFmtId="0" fontId="34" fillId="41" borderId="11" xfId="0" applyFont="1" applyFill="1" applyBorder="1" applyAlignment="1" applyProtection="1">
      <alignment horizontal="center" vertical="center" wrapText="1"/>
      <protection locked="0"/>
    </xf>
    <xf numFmtId="0" fontId="34" fillId="41" borderId="11" xfId="0" applyFont="1" applyFill="1" applyBorder="1" applyAlignment="1" applyProtection="1">
      <alignment horizontal="center" vertical="center" wrapText="1" shrinkToFit="1"/>
      <protection locked="0"/>
    </xf>
    <xf numFmtId="0" fontId="34" fillId="41" borderId="165" xfId="0" applyFont="1" applyFill="1" applyBorder="1" applyAlignment="1" applyProtection="1">
      <alignment vertical="center" wrapText="1"/>
      <protection locked="0"/>
    </xf>
    <xf numFmtId="0" fontId="34" fillId="41" borderId="11" xfId="0" applyFont="1" applyFill="1" applyBorder="1" applyAlignment="1" applyProtection="1">
      <alignment vertical="center" wrapText="1"/>
      <protection locked="0"/>
    </xf>
    <xf numFmtId="0" fontId="34" fillId="41" borderId="175" xfId="0" applyFont="1" applyFill="1" applyBorder="1" applyAlignment="1" applyProtection="1">
      <alignment horizontal="center" vertical="center" wrapText="1"/>
      <protection locked="0"/>
    </xf>
    <xf numFmtId="0" fontId="34" fillId="41" borderId="175" xfId="0" applyFont="1" applyFill="1" applyBorder="1" applyAlignment="1" applyProtection="1">
      <alignment horizontal="center" vertical="center" wrapText="1" shrinkToFit="1"/>
      <protection locked="0"/>
    </xf>
    <xf numFmtId="0" fontId="34" fillId="41" borderId="175" xfId="0" applyFont="1" applyFill="1" applyBorder="1" applyAlignment="1" applyProtection="1">
      <alignment vertical="center" wrapText="1"/>
      <protection locked="0"/>
    </xf>
    <xf numFmtId="0" fontId="34" fillId="41" borderId="165" xfId="0" applyFont="1" applyFill="1" applyBorder="1" applyAlignment="1" applyProtection="1">
      <alignment horizontal="center" vertical="center" wrapText="1"/>
      <protection locked="0"/>
    </xf>
    <xf numFmtId="0" fontId="34" fillId="41" borderId="165" xfId="0" applyFont="1" applyFill="1" applyBorder="1" applyAlignment="1" applyProtection="1">
      <alignment horizontal="center" vertical="center" wrapText="1" shrinkToFit="1"/>
      <protection locked="0"/>
    </xf>
    <xf numFmtId="0" fontId="34" fillId="27" borderId="11" xfId="0" applyFont="1" applyFill="1" applyBorder="1" applyAlignment="1" applyProtection="1">
      <alignment horizontal="center" vertical="center" wrapText="1"/>
      <protection locked="0"/>
    </xf>
    <xf numFmtId="9" fontId="34" fillId="41" borderId="165" xfId="0" applyNumberFormat="1" applyFont="1" applyFill="1" applyBorder="1" applyAlignment="1" applyProtection="1">
      <alignment horizontal="center" vertical="center" wrapText="1"/>
      <protection locked="0"/>
    </xf>
    <xf numFmtId="0" fontId="34" fillId="41" borderId="165" xfId="0" applyFont="1" applyFill="1" applyBorder="1" applyAlignment="1" applyProtection="1">
      <alignment vertical="center"/>
      <protection locked="0"/>
    </xf>
    <xf numFmtId="0" fontId="34" fillId="41" borderId="11" xfId="0" applyFont="1" applyFill="1" applyBorder="1" applyAlignment="1" applyProtection="1">
      <alignment vertical="center"/>
      <protection locked="0"/>
    </xf>
    <xf numFmtId="9" fontId="34" fillId="41" borderId="166" xfId="0" applyNumberFormat="1" applyFont="1" applyFill="1" applyBorder="1" applyAlignment="1" applyProtection="1">
      <alignment horizontal="center" vertical="center" wrapText="1" shrinkToFit="1"/>
      <protection locked="0"/>
    </xf>
    <xf numFmtId="0" fontId="34" fillId="41" borderId="166" xfId="0" applyFont="1" applyFill="1" applyBorder="1" applyAlignment="1" applyProtection="1">
      <alignment vertical="center"/>
      <protection locked="0"/>
    </xf>
    <xf numFmtId="179" fontId="34" fillId="41" borderId="51"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horizontal="center" vertical="center" wrapText="1"/>
      <protection locked="0"/>
    </xf>
    <xf numFmtId="178" fontId="34" fillId="41" borderId="165" xfId="0" applyNumberFormat="1" applyFont="1" applyFill="1" applyBorder="1" applyAlignment="1" applyProtection="1">
      <alignment horizontal="center" vertical="center"/>
      <protection locked="0"/>
    </xf>
    <xf numFmtId="0" fontId="34" fillId="27" borderId="17" xfId="0" applyFont="1" applyFill="1" applyBorder="1" applyAlignment="1">
      <alignment horizontal="center" vertical="center" wrapText="1"/>
    </xf>
    <xf numFmtId="178" fontId="34" fillId="41" borderId="11" xfId="0" applyNumberFormat="1" applyFont="1" applyFill="1" applyBorder="1" applyAlignment="1" applyProtection="1">
      <alignment horizontal="center" vertical="center"/>
      <protection locked="0"/>
    </xf>
    <xf numFmtId="178" fontId="34" fillId="41" borderId="15" xfId="0" applyNumberFormat="1" applyFont="1" applyFill="1" applyBorder="1" applyAlignment="1" applyProtection="1">
      <alignment horizontal="center" vertical="center"/>
      <protection locked="0"/>
    </xf>
    <xf numFmtId="179" fontId="34" fillId="41" borderId="55" xfId="0" applyNumberFormat="1" applyFont="1" applyFill="1" applyBorder="1" applyAlignment="1" applyProtection="1">
      <alignment horizontal="center" vertical="center"/>
      <protection locked="0"/>
    </xf>
    <xf numFmtId="0" fontId="34" fillId="41" borderId="166" xfId="0" applyFont="1" applyFill="1" applyBorder="1" applyAlignment="1" applyProtection="1">
      <alignment vertical="center" wrapText="1"/>
      <protection locked="0"/>
    </xf>
    <xf numFmtId="38" fontId="34" fillId="41" borderId="51" xfId="35" applyFont="1" applyFill="1" applyBorder="1" applyAlignment="1" applyProtection="1">
      <alignment horizontal="center" vertical="center" wrapText="1"/>
      <protection locked="0"/>
    </xf>
    <xf numFmtId="0" fontId="34" fillId="41" borderId="51" xfId="0" applyFont="1" applyFill="1" applyBorder="1" applyAlignment="1" applyProtection="1">
      <alignment vertical="center"/>
      <protection locked="0"/>
    </xf>
    <xf numFmtId="0" fontId="34" fillId="41" borderId="165" xfId="0" applyFont="1" applyFill="1" applyBorder="1" applyAlignment="1" applyProtection="1">
      <alignment horizontal="center" vertical="center"/>
      <protection locked="0"/>
    </xf>
    <xf numFmtId="0" fontId="34" fillId="41" borderId="11" xfId="0" applyFont="1" applyFill="1" applyBorder="1" applyAlignment="1" applyProtection="1">
      <alignment horizontal="center" vertical="center"/>
      <protection locked="0"/>
    </xf>
    <xf numFmtId="0" fontId="34" fillId="41" borderId="168" xfId="0" applyFont="1" applyFill="1" applyBorder="1" applyAlignment="1" applyProtection="1">
      <alignment horizontal="center" vertical="center" wrapText="1"/>
      <protection locked="0"/>
    </xf>
    <xf numFmtId="0" fontId="34" fillId="41" borderId="166" xfId="0" applyFont="1" applyFill="1" applyBorder="1" applyAlignment="1" applyProtection="1">
      <alignment horizontal="center" vertical="center"/>
      <protection locked="0"/>
    </xf>
    <xf numFmtId="38" fontId="34" fillId="27" borderId="11" xfId="35" applyFont="1" applyFill="1" applyBorder="1" applyAlignment="1">
      <alignment horizontal="center" vertical="center" wrapText="1" shrinkToFit="1"/>
    </xf>
    <xf numFmtId="0" fontId="34" fillId="27" borderId="175" xfId="0" applyFont="1" applyFill="1" applyBorder="1" applyAlignment="1" applyProtection="1">
      <alignment vertical="center" wrapText="1"/>
      <protection locked="0"/>
    </xf>
    <xf numFmtId="188" fontId="34" fillId="27" borderId="11" xfId="0" applyNumberFormat="1" applyFont="1" applyFill="1" applyBorder="1" applyAlignment="1">
      <alignment horizontal="center" vertical="center" wrapText="1" shrinkToFit="1"/>
    </xf>
    <xf numFmtId="0" fontId="34" fillId="27" borderId="165" xfId="0" applyFont="1" applyFill="1" applyBorder="1" applyAlignment="1">
      <alignment horizontal="left" vertical="center"/>
    </xf>
    <xf numFmtId="38" fontId="34" fillId="27" borderId="165" xfId="35" applyFont="1" applyFill="1" applyBorder="1" applyAlignment="1">
      <alignment horizontal="center" vertical="center" wrapText="1" shrinkToFit="1"/>
    </xf>
    <xf numFmtId="40" fontId="34" fillId="27" borderId="175" xfId="0" applyNumberFormat="1" applyFont="1" applyFill="1" applyBorder="1" applyAlignment="1">
      <alignment horizontal="center" vertical="center" wrapText="1"/>
    </xf>
    <xf numFmtId="38" fontId="34" fillId="27" borderId="175" xfId="35" applyFont="1" applyFill="1" applyBorder="1" applyAlignment="1">
      <alignment horizontal="center" vertical="center" wrapText="1" shrinkToFit="1"/>
    </xf>
    <xf numFmtId="40" fontId="34" fillId="27" borderId="166" xfId="0" applyNumberFormat="1" applyFont="1" applyFill="1" applyBorder="1" applyAlignment="1">
      <alignment horizontal="center" vertical="center" wrapText="1"/>
    </xf>
    <xf numFmtId="178" fontId="34" fillId="27" borderId="166" xfId="0" applyNumberFormat="1" applyFont="1" applyFill="1" applyBorder="1" applyAlignment="1">
      <alignment horizontal="center" vertical="center" wrapText="1" shrinkToFit="1"/>
    </xf>
    <xf numFmtId="0" fontId="34" fillId="0" borderId="0" xfId="0" applyFont="1" applyFill="1" applyAlignment="1">
      <alignment horizontal="left"/>
    </xf>
    <xf numFmtId="0" fontId="34" fillId="0" borderId="0" xfId="0" applyFont="1" applyFill="1" applyAlignment="1">
      <alignment shrinkToFit="1"/>
    </xf>
    <xf numFmtId="188" fontId="34" fillId="0" borderId="0" xfId="35" applyNumberFormat="1" applyFont="1" applyFill="1" applyBorder="1" applyAlignment="1"/>
    <xf numFmtId="178" fontId="34" fillId="0" borderId="0" xfId="35" applyNumberFormat="1" applyFont="1" applyFill="1" applyBorder="1" applyAlignment="1"/>
    <xf numFmtId="49" fontId="34" fillId="0" borderId="0" xfId="35" applyNumberFormat="1" applyFont="1" applyFill="1" applyBorder="1" applyAlignment="1">
      <alignment horizontal="center"/>
    </xf>
    <xf numFmtId="2" fontId="34" fillId="0" borderId="0" xfId="0" applyNumberFormat="1" applyFont="1" applyFill="1" applyBorder="1" applyAlignment="1">
      <alignment horizontal="left" shrinkToFit="1"/>
    </xf>
    <xf numFmtId="2" fontId="34" fillId="0" borderId="0" xfId="0" applyNumberFormat="1" applyFont="1" applyFill="1" applyBorder="1" applyAlignment="1">
      <alignment horizontal="center"/>
    </xf>
    <xf numFmtId="0" fontId="7" fillId="0" borderId="0" xfId="0" applyNumberFormat="1" applyFont="1">
      <alignment vertical="center"/>
    </xf>
    <xf numFmtId="0" fontId="7" fillId="0" borderId="0" xfId="0" applyFont="1" applyAlignment="1">
      <alignment horizontal="left" vertical="center" shrinkToFit="1"/>
    </xf>
    <xf numFmtId="178" fontId="149" fillId="0" borderId="0" xfId="35" applyNumberFormat="1" applyFont="1" applyFill="1" applyBorder="1" applyAlignment="1" applyProtection="1">
      <protection hidden="1"/>
    </xf>
    <xf numFmtId="0" fontId="34" fillId="0" borderId="0" xfId="0" applyFont="1" applyFill="1" applyAlignment="1" applyProtection="1">
      <alignment shrinkToFit="1"/>
      <protection hidden="1"/>
    </xf>
    <xf numFmtId="0" fontId="150" fillId="0" borderId="0" xfId="0" applyNumberFormat="1" applyFont="1" applyFill="1" applyBorder="1" applyAlignment="1" applyProtection="1">
      <alignment horizontal="left" vertical="center"/>
      <protection hidden="1"/>
    </xf>
    <xf numFmtId="178" fontId="150" fillId="0" borderId="0" xfId="35" applyNumberFormat="1" applyFont="1" applyFill="1" applyBorder="1" applyAlignment="1" applyProtection="1">
      <protection hidden="1"/>
    </xf>
    <xf numFmtId="178" fontId="34" fillId="0" borderId="0" xfId="35" applyNumberFormat="1" applyFont="1" applyFill="1" applyBorder="1" applyAlignment="1" applyProtection="1">
      <protection hidden="1"/>
    </xf>
    <xf numFmtId="2" fontId="149" fillId="0" borderId="0" xfId="0" applyNumberFormat="1" applyFont="1" applyFill="1" applyBorder="1" applyAlignment="1" applyProtection="1">
      <alignment horizontal="left"/>
      <protection hidden="1"/>
    </xf>
    <xf numFmtId="49" fontId="149" fillId="0" borderId="0" xfId="0" applyNumberFormat="1" applyFont="1" applyFill="1" applyBorder="1" applyProtection="1">
      <alignment vertical="center"/>
      <protection hidden="1"/>
    </xf>
    <xf numFmtId="0" fontId="150" fillId="0" borderId="0" xfId="0" applyFont="1" applyAlignment="1">
      <alignment vertical="center" shrinkToFit="1"/>
    </xf>
    <xf numFmtId="0" fontId="150" fillId="0" borderId="0" xfId="0" applyFont="1">
      <alignment vertical="center"/>
    </xf>
    <xf numFmtId="2" fontId="150" fillId="0" borderId="0" xfId="0" applyNumberFormat="1" applyFont="1" applyFill="1" applyBorder="1" applyAlignment="1" applyProtection="1">
      <alignment horizontal="center"/>
      <protection hidden="1"/>
    </xf>
    <xf numFmtId="0" fontId="150" fillId="0" borderId="0" xfId="0" applyNumberFormat="1" applyFont="1">
      <alignment vertical="center"/>
    </xf>
    <xf numFmtId="0" fontId="150" fillId="0" borderId="0" xfId="0" applyFont="1" applyAlignment="1">
      <alignment horizontal="left" vertical="center" shrinkToFit="1"/>
    </xf>
    <xf numFmtId="0" fontId="150" fillId="0" borderId="0" xfId="0" applyFont="1" applyFill="1">
      <alignment vertical="center"/>
    </xf>
    <xf numFmtId="0" fontId="149" fillId="0" borderId="0" xfId="0" applyNumberFormat="1" applyFont="1" applyFill="1" applyBorder="1" applyProtection="1">
      <alignment vertical="center"/>
      <protection hidden="1"/>
    </xf>
    <xf numFmtId="1" fontId="149" fillId="0" borderId="0" xfId="0" applyNumberFormat="1" applyFont="1" applyFill="1" applyBorder="1" applyAlignment="1" applyProtection="1">
      <alignment horizontal="center"/>
      <protection hidden="1"/>
    </xf>
    <xf numFmtId="2" fontId="150" fillId="0" borderId="0" xfId="0" applyNumberFormat="1" applyFont="1" applyFill="1" applyBorder="1" applyAlignment="1" applyProtection="1">
      <alignment horizontal="left" shrinkToFit="1"/>
      <protection hidden="1"/>
    </xf>
    <xf numFmtId="0" fontId="7" fillId="35" borderId="52" xfId="0" applyFont="1" applyFill="1" applyBorder="1" applyAlignment="1" applyProtection="1">
      <alignment horizontal="center" vertical="center"/>
      <protection hidden="1"/>
    </xf>
    <xf numFmtId="0" fontId="7" fillId="35" borderId="54" xfId="0" applyFont="1" applyFill="1" applyBorder="1" applyAlignment="1" applyProtection="1">
      <alignment horizontal="center" vertical="center" shrinkToFit="1"/>
      <protection hidden="1"/>
    </xf>
    <xf numFmtId="0" fontId="7" fillId="35" borderId="26" xfId="0" applyFont="1" applyFill="1" applyBorder="1" applyAlignment="1" applyProtection="1">
      <alignment horizontal="centerContinuous" vertical="center"/>
      <protection hidden="1"/>
    </xf>
    <xf numFmtId="0" fontId="7" fillId="35" borderId="27" xfId="0" applyFont="1" applyFill="1" applyBorder="1" applyAlignment="1" applyProtection="1">
      <alignment horizontal="centerContinuous" vertical="center"/>
      <protection hidden="1"/>
    </xf>
    <xf numFmtId="0" fontId="34" fillId="35" borderId="26" xfId="0" applyFont="1" applyFill="1" applyBorder="1" applyAlignment="1" applyProtection="1">
      <alignment horizontal="centerContinuous" vertical="center"/>
      <protection hidden="1"/>
    </xf>
    <xf numFmtId="0" fontId="34" fillId="35" borderId="27" xfId="0" applyFont="1" applyFill="1" applyBorder="1" applyAlignment="1" applyProtection="1">
      <alignment horizontal="centerContinuous" vertical="center"/>
      <protection hidden="1"/>
    </xf>
    <xf numFmtId="178" fontId="34" fillId="35" borderId="10" xfId="35" applyNumberFormat="1" applyFont="1" applyFill="1" applyBorder="1" applyAlignment="1" applyProtection="1">
      <alignment horizontal="centerContinuous" vertical="center"/>
      <protection hidden="1"/>
    </xf>
    <xf numFmtId="0" fontId="34" fillId="35" borderId="50" xfId="0" applyFont="1" applyFill="1" applyBorder="1" applyAlignment="1" applyProtection="1">
      <alignment horizontal="centerContinuous" vertical="center"/>
      <protection hidden="1"/>
    </xf>
    <xf numFmtId="0" fontId="7" fillId="35" borderId="10" xfId="0" applyFont="1" applyFill="1" applyBorder="1" applyAlignment="1" applyProtection="1">
      <alignment horizontal="center" vertical="center"/>
      <protection hidden="1"/>
    </xf>
    <xf numFmtId="0" fontId="7" fillId="35" borderId="10" xfId="0" applyFont="1" applyFill="1" applyBorder="1" applyAlignment="1" applyProtection="1">
      <alignment horizontal="center" vertical="center" shrinkToFit="1"/>
      <protection hidden="1"/>
    </xf>
    <xf numFmtId="2" fontId="34" fillId="35" borderId="10" xfId="0" applyNumberFormat="1" applyFont="1" applyFill="1" applyBorder="1" applyAlignment="1" applyProtection="1">
      <alignment horizontal="center"/>
      <protection hidden="1"/>
    </xf>
    <xf numFmtId="0" fontId="7" fillId="35" borderId="10" xfId="0" applyNumberFormat="1" applyFont="1" applyFill="1" applyBorder="1" applyAlignment="1" applyProtection="1">
      <alignment horizontal="center" vertical="center"/>
      <protection hidden="1"/>
    </xf>
    <xf numFmtId="0" fontId="7" fillId="35" borderId="10" xfId="0" applyFont="1" applyFill="1" applyBorder="1" applyAlignment="1" applyProtection="1">
      <alignment horizontal="left" vertical="center" shrinkToFit="1"/>
      <protection hidden="1"/>
    </xf>
    <xf numFmtId="0" fontId="7" fillId="35" borderId="56" xfId="0" applyFont="1" applyFill="1" applyBorder="1" applyAlignment="1" applyProtection="1">
      <alignment horizontal="center" vertical="center" shrinkToFit="1"/>
      <protection hidden="1"/>
    </xf>
    <xf numFmtId="0" fontId="7" fillId="35" borderId="58" xfId="0" applyFont="1" applyFill="1" applyBorder="1" applyAlignment="1" applyProtection="1">
      <alignment horizontal="center" vertical="center" shrinkToFit="1"/>
      <protection hidden="1"/>
    </xf>
    <xf numFmtId="178" fontId="34" fillId="35" borderId="10" xfId="35" applyNumberFormat="1" applyFont="1" applyFill="1" applyBorder="1" applyAlignment="1" applyProtection="1">
      <alignment horizontal="center" shrinkToFit="1"/>
      <protection hidden="1"/>
    </xf>
    <xf numFmtId="2" fontId="34" fillId="35" borderId="10" xfId="0" applyNumberFormat="1" applyFont="1" applyFill="1" applyBorder="1" applyAlignment="1" applyProtection="1">
      <alignment horizontal="center" vertical="top" shrinkToFit="1"/>
      <protection hidden="1"/>
    </xf>
    <xf numFmtId="2" fontId="34" fillId="35" borderId="26" xfId="0" applyNumberFormat="1" applyFont="1" applyFill="1" applyBorder="1" applyAlignment="1" applyProtection="1">
      <alignment horizontal="center" vertical="top" shrinkToFit="1"/>
      <protection hidden="1"/>
    </xf>
    <xf numFmtId="2" fontId="34" fillId="35" borderId="27" xfId="0" applyNumberFormat="1" applyFont="1" applyFill="1" applyBorder="1" applyAlignment="1" applyProtection="1">
      <alignment horizontal="center" vertical="top" shrinkToFit="1"/>
      <protection hidden="1"/>
    </xf>
    <xf numFmtId="0" fontId="7" fillId="35" borderId="10" xfId="0" applyNumberFormat="1" applyFont="1" applyFill="1" applyBorder="1" applyAlignment="1" applyProtection="1">
      <alignment horizontal="center" vertical="center" shrinkToFit="1"/>
      <protection hidden="1"/>
    </xf>
    <xf numFmtId="0" fontId="7" fillId="35" borderId="56" xfId="0" applyFont="1" applyFill="1" applyBorder="1" applyAlignment="1" applyProtection="1">
      <alignment horizontal="center" vertical="center"/>
      <protection hidden="1"/>
    </xf>
    <xf numFmtId="0" fontId="34" fillId="35" borderId="58" xfId="0" applyFont="1" applyFill="1" applyBorder="1" applyAlignment="1" applyProtection="1">
      <alignment horizontal="center" vertical="center" shrinkToFit="1"/>
      <protection hidden="1"/>
    </xf>
    <xf numFmtId="188" fontId="34" fillId="35" borderId="27" xfId="35" applyNumberFormat="1" applyFont="1" applyFill="1" applyBorder="1" applyAlignment="1" applyProtection="1">
      <protection hidden="1"/>
    </xf>
    <xf numFmtId="178" fontId="34" fillId="35" borderId="10" xfId="35" applyNumberFormat="1" applyFont="1" applyFill="1" applyBorder="1" applyAlignment="1" applyProtection="1">
      <alignment horizontal="center"/>
      <protection hidden="1"/>
    </xf>
    <xf numFmtId="40" fontId="34" fillId="35" borderId="10" xfId="35" applyNumberFormat="1" applyFont="1" applyFill="1" applyBorder="1" applyAlignment="1" applyProtection="1">
      <alignment horizontal="center" vertical="top"/>
      <protection hidden="1"/>
    </xf>
    <xf numFmtId="40" fontId="34" fillId="35" borderId="26" xfId="35" applyNumberFormat="1" applyFont="1" applyFill="1" applyBorder="1" applyAlignment="1" applyProtection="1">
      <alignment horizontal="center" vertical="top"/>
      <protection hidden="1"/>
    </xf>
    <xf numFmtId="0" fontId="24" fillId="35" borderId="10" xfId="0" applyFont="1" applyFill="1" applyBorder="1" applyAlignment="1" applyProtection="1">
      <alignment horizontal="center" vertical="center"/>
      <protection hidden="1"/>
    </xf>
    <xf numFmtId="0" fontId="46" fillId="35" borderId="58" xfId="0" applyFont="1" applyFill="1" applyBorder="1" applyAlignment="1" applyProtection="1">
      <alignment horizontal="left" vertical="center" shrinkToFit="1"/>
      <protection hidden="1"/>
    </xf>
    <xf numFmtId="188" fontId="126" fillId="35" borderId="27" xfId="35" applyNumberFormat="1" applyFont="1" applyFill="1" applyBorder="1" applyAlignment="1" applyProtection="1">
      <protection hidden="1"/>
    </xf>
    <xf numFmtId="178" fontId="126" fillId="35" borderId="10" xfId="35" applyNumberFormat="1" applyFont="1" applyFill="1" applyBorder="1" applyAlignment="1" applyProtection="1">
      <alignment horizontal="center"/>
      <protection hidden="1"/>
    </xf>
    <xf numFmtId="0" fontId="24" fillId="35" borderId="10" xfId="0" applyNumberFormat="1" applyFont="1" applyFill="1" applyBorder="1" applyAlignment="1" applyProtection="1">
      <alignment horizontal="center" vertical="center"/>
      <protection hidden="1"/>
    </xf>
    <xf numFmtId="0" fontId="24" fillId="35" borderId="10" xfId="0" applyFont="1" applyFill="1" applyBorder="1" applyAlignment="1" applyProtection="1">
      <alignment horizontal="left" vertical="center" shrinkToFit="1"/>
      <protection hidden="1"/>
    </xf>
    <xf numFmtId="40" fontId="126" fillId="35" borderId="10" xfId="35" applyNumberFormat="1" applyFont="1" applyFill="1" applyBorder="1" applyAlignment="1" applyProtection="1">
      <alignment horizontal="center" vertical="top"/>
      <protection hidden="1"/>
    </xf>
    <xf numFmtId="40" fontId="126" fillId="35" borderId="26" xfId="35" applyNumberFormat="1" applyFont="1" applyFill="1" applyBorder="1" applyAlignment="1" applyProtection="1">
      <alignment horizontal="center" vertical="top"/>
      <protection hidden="1"/>
    </xf>
    <xf numFmtId="2" fontId="126" fillId="35" borderId="27" xfId="0" applyNumberFormat="1" applyFont="1" applyFill="1" applyBorder="1" applyAlignment="1" applyProtection="1">
      <alignment horizontal="center" vertical="top"/>
      <protection hidden="1"/>
    </xf>
    <xf numFmtId="2" fontId="126" fillId="35" borderId="10" xfId="0" applyNumberFormat="1" applyFont="1" applyFill="1" applyBorder="1" applyAlignment="1" applyProtection="1">
      <alignment horizontal="center" vertical="top"/>
      <protection hidden="1"/>
    </xf>
    <xf numFmtId="0" fontId="126" fillId="31" borderId="10" xfId="0" applyNumberFormat="1" applyFont="1" applyFill="1" applyBorder="1" applyAlignment="1" applyProtection="1">
      <alignment horizontal="left" vertical="center"/>
      <protection hidden="1"/>
    </xf>
    <xf numFmtId="188" fontId="126" fillId="31" borderId="10" xfId="35" applyNumberFormat="1" applyFont="1" applyFill="1" applyBorder="1" applyAlignment="1" applyProtection="1">
      <alignment horizontal="right"/>
      <protection hidden="1"/>
    </xf>
    <xf numFmtId="189" fontId="126" fillId="31" borderId="10" xfId="35" applyNumberFormat="1" applyFont="1" applyFill="1" applyBorder="1" applyAlignment="1" applyProtection="1">
      <protection hidden="1"/>
    </xf>
    <xf numFmtId="0" fontId="126" fillId="31" borderId="10" xfId="0" applyNumberFormat="1" applyFont="1" applyFill="1" applyBorder="1" applyAlignment="1" applyProtection="1">
      <alignment horizontal="left" vertical="center" shrinkToFit="1"/>
      <protection hidden="1"/>
    </xf>
    <xf numFmtId="38" fontId="126" fillId="31" borderId="10" xfId="35" applyFont="1" applyFill="1" applyBorder="1" applyAlignment="1" applyProtection="1">
      <alignment horizontal="center" vertical="center"/>
      <protection hidden="1"/>
    </xf>
    <xf numFmtId="49" fontId="126" fillId="31" borderId="10" xfId="0" applyNumberFormat="1" applyFont="1" applyFill="1" applyBorder="1" applyAlignment="1" applyProtection="1">
      <alignment horizontal="left" vertical="center"/>
      <protection hidden="1"/>
    </xf>
    <xf numFmtId="2" fontId="126" fillId="31" borderId="10" xfId="35" applyNumberFormat="1" applyFont="1" applyFill="1" applyBorder="1" applyAlignment="1" applyProtection="1">
      <alignment horizontal="center" vertical="center"/>
      <protection hidden="1"/>
    </xf>
    <xf numFmtId="2" fontId="126" fillId="31" borderId="27" xfId="35" applyNumberFormat="1" applyFont="1" applyFill="1" applyBorder="1" applyAlignment="1" applyProtection="1">
      <alignment horizontal="center" vertical="center"/>
      <protection hidden="1"/>
    </xf>
    <xf numFmtId="188" fontId="126" fillId="27" borderId="10" xfId="35" applyNumberFormat="1" applyFont="1" applyFill="1" applyBorder="1" applyAlignment="1" applyProtection="1">
      <alignment horizontal="right"/>
      <protection hidden="1"/>
    </xf>
    <xf numFmtId="189" fontId="126" fillId="27" borderId="10" xfId="35" applyNumberFormat="1" applyFont="1" applyFill="1" applyBorder="1" applyAlignment="1" applyProtection="1">
      <protection hidden="1"/>
    </xf>
    <xf numFmtId="188" fontId="34" fillId="27" borderId="10" xfId="0" applyNumberFormat="1" applyFont="1" applyFill="1" applyBorder="1" applyProtection="1">
      <alignment vertical="center"/>
      <protection hidden="1"/>
    </xf>
    <xf numFmtId="0" fontId="126" fillId="27" borderId="10" xfId="0" applyNumberFormat="1" applyFont="1" applyFill="1" applyBorder="1" applyAlignment="1" applyProtection="1">
      <alignment horizontal="left" vertical="center"/>
      <protection hidden="1"/>
    </xf>
    <xf numFmtId="0" fontId="126" fillId="27" borderId="10" xfId="0" applyNumberFormat="1" applyFont="1" applyFill="1" applyBorder="1" applyAlignment="1" applyProtection="1">
      <alignment horizontal="left" vertical="center" shrinkToFit="1"/>
      <protection hidden="1"/>
    </xf>
    <xf numFmtId="38" fontId="126" fillId="27" borderId="10" xfId="35" applyFont="1" applyFill="1" applyBorder="1" applyAlignment="1" applyProtection="1">
      <alignment horizontal="center"/>
      <protection hidden="1"/>
    </xf>
    <xf numFmtId="38" fontId="126" fillId="27" borderId="26" xfId="35" applyFont="1" applyFill="1" applyBorder="1" applyAlignment="1" applyProtection="1">
      <alignment horizontal="center" vertical="center"/>
      <protection hidden="1"/>
    </xf>
    <xf numFmtId="49" fontId="126" fillId="27" borderId="10" xfId="0" applyNumberFormat="1" applyFont="1" applyFill="1" applyBorder="1" applyAlignment="1" applyProtection="1">
      <alignment horizontal="left" vertical="center"/>
      <protection hidden="1"/>
    </xf>
    <xf numFmtId="2" fontId="126" fillId="27" borderId="10" xfId="35" applyNumberFormat="1" applyFont="1" applyFill="1" applyBorder="1" applyAlignment="1" applyProtection="1">
      <alignment horizontal="center"/>
      <protection hidden="1"/>
    </xf>
    <xf numFmtId="2" fontId="126" fillId="27" borderId="27" xfId="35" applyNumberFormat="1" applyFont="1" applyFill="1" applyBorder="1" applyAlignment="1" applyProtection="1">
      <alignment horizontal="center"/>
      <protection hidden="1"/>
    </xf>
    <xf numFmtId="2" fontId="126" fillId="27" borderId="26" xfId="35" applyNumberFormat="1" applyFont="1" applyFill="1" applyBorder="1" applyAlignment="1" applyProtection="1">
      <alignment horizontal="center" vertical="center"/>
      <protection hidden="1"/>
    </xf>
    <xf numFmtId="188" fontId="34" fillId="27" borderId="10" xfId="35" applyNumberFormat="1" applyFont="1" applyFill="1" applyBorder="1" applyAlignment="1" applyProtection="1">
      <alignment horizontal="right"/>
      <protection hidden="1"/>
    </xf>
    <xf numFmtId="189" fontId="34" fillId="27" borderId="10" xfId="35" applyNumberFormat="1" applyFont="1" applyFill="1" applyBorder="1" applyAlignment="1" applyProtection="1">
      <protection hidden="1"/>
    </xf>
    <xf numFmtId="0" fontId="34" fillId="27" borderId="10" xfId="0" applyNumberFormat="1" applyFont="1" applyFill="1" applyBorder="1" applyAlignment="1" applyProtection="1">
      <alignment horizontal="left" vertical="center"/>
      <protection hidden="1"/>
    </xf>
    <xf numFmtId="0" fontId="34" fillId="27" borderId="10" xfId="0" applyNumberFormat="1" applyFont="1" applyFill="1" applyBorder="1" applyAlignment="1" applyProtection="1">
      <alignment horizontal="left" vertical="center" shrinkToFit="1"/>
      <protection hidden="1"/>
    </xf>
    <xf numFmtId="38" fontId="34" fillId="27" borderId="10" xfId="35" applyFont="1" applyFill="1" applyBorder="1" applyAlignment="1" applyProtection="1">
      <alignment horizontal="center" vertical="center"/>
      <protection hidden="1"/>
    </xf>
    <xf numFmtId="38" fontId="34" fillId="27" borderId="27" xfId="35" applyFont="1" applyFill="1" applyBorder="1" applyAlignment="1" applyProtection="1">
      <alignment horizontal="center" vertical="center"/>
      <protection hidden="1"/>
    </xf>
    <xf numFmtId="49" fontId="34" fillId="27" borderId="10" xfId="0" applyNumberFormat="1" applyFont="1" applyFill="1" applyBorder="1" applyAlignment="1" applyProtection="1">
      <alignment horizontal="left" vertical="center"/>
      <protection hidden="1"/>
    </xf>
    <xf numFmtId="0" fontId="34" fillId="27" borderId="10" xfId="0" applyFont="1" applyFill="1" applyBorder="1" applyAlignment="1" applyProtection="1">
      <alignment horizontal="left" vertical="center" shrinkToFit="1"/>
      <protection hidden="1"/>
    </xf>
    <xf numFmtId="38" fontId="34" fillId="45" borderId="10" xfId="35" applyFont="1" applyFill="1" applyBorder="1" applyAlignment="1" applyProtection="1">
      <alignment horizontal="center" vertical="center"/>
      <protection hidden="1"/>
    </xf>
    <xf numFmtId="2" fontId="34" fillId="27" borderId="10" xfId="35" applyNumberFormat="1" applyFont="1" applyFill="1" applyBorder="1" applyAlignment="1" applyProtection="1">
      <alignment horizontal="center" vertical="center"/>
      <protection hidden="1"/>
    </xf>
    <xf numFmtId="2" fontId="34" fillId="27" borderId="27" xfId="35" applyNumberFormat="1" applyFont="1" applyFill="1" applyBorder="1" applyAlignment="1" applyProtection="1">
      <alignment horizontal="center" vertical="center"/>
      <protection hidden="1"/>
    </xf>
    <xf numFmtId="178" fontId="34" fillId="27" borderId="26" xfId="0" applyNumberFormat="1" applyFont="1" applyFill="1" applyBorder="1" applyAlignment="1" applyProtection="1">
      <alignment horizontal="center" vertical="center"/>
      <protection hidden="1"/>
    </xf>
    <xf numFmtId="2" fontId="34" fillId="45" borderId="10" xfId="35" applyNumberFormat="1" applyFont="1" applyFill="1" applyBorder="1" applyAlignment="1" applyProtection="1">
      <alignment horizontal="center" vertical="center"/>
      <protection hidden="1"/>
    </xf>
    <xf numFmtId="38" fontId="34" fillId="27" borderId="26" xfId="35" applyFont="1" applyFill="1" applyBorder="1" applyAlignment="1" applyProtection="1">
      <alignment horizontal="center" vertical="center"/>
      <protection hidden="1"/>
    </xf>
    <xf numFmtId="38" fontId="34" fillId="42" borderId="10" xfId="35" applyFont="1" applyFill="1" applyBorder="1" applyAlignment="1" applyProtection="1">
      <alignment horizontal="center" vertical="center"/>
      <protection hidden="1"/>
    </xf>
    <xf numFmtId="2" fontId="34" fillId="46" borderId="10" xfId="35" applyNumberFormat="1" applyFont="1" applyFill="1" applyBorder="1" applyAlignment="1" applyProtection="1">
      <alignment horizontal="center" vertical="center"/>
      <protection hidden="1"/>
    </xf>
    <xf numFmtId="2" fontId="34" fillId="27" borderId="26" xfId="35" applyNumberFormat="1" applyFont="1" applyFill="1" applyBorder="1" applyAlignment="1" applyProtection="1">
      <alignment horizontal="center" vertical="center"/>
      <protection hidden="1"/>
    </xf>
    <xf numFmtId="0" fontId="126" fillId="27" borderId="26" xfId="0" applyFont="1" applyFill="1" applyBorder="1" applyAlignment="1" applyProtection="1">
      <alignment horizontal="center" vertical="center"/>
      <protection hidden="1"/>
    </xf>
    <xf numFmtId="0" fontId="126" fillId="27" borderId="10" xfId="0" applyFont="1" applyFill="1" applyBorder="1" applyAlignment="1" applyProtection="1">
      <alignment horizontal="left" vertical="center" shrinkToFit="1"/>
      <protection hidden="1"/>
    </xf>
    <xf numFmtId="178" fontId="126" fillId="27" borderId="26" xfId="0" applyNumberFormat="1" applyFont="1" applyFill="1" applyBorder="1" applyAlignment="1" applyProtection="1">
      <alignment horizontal="center" vertical="center"/>
      <protection hidden="1"/>
    </xf>
    <xf numFmtId="0" fontId="34" fillId="27" borderId="26" xfId="0" applyFont="1" applyFill="1" applyBorder="1" applyAlignment="1" applyProtection="1">
      <alignment horizontal="center" vertical="center"/>
      <protection hidden="1"/>
    </xf>
    <xf numFmtId="0" fontId="34" fillId="42" borderId="26" xfId="0" applyFont="1" applyFill="1" applyBorder="1" applyAlignment="1" applyProtection="1">
      <alignment horizontal="center" vertical="center"/>
      <protection hidden="1"/>
    </xf>
    <xf numFmtId="2" fontId="34" fillId="27" borderId="10" xfId="0" applyNumberFormat="1" applyFont="1" applyFill="1" applyBorder="1" applyAlignment="1" applyProtection="1">
      <alignment horizontal="center"/>
      <protection hidden="1"/>
    </xf>
    <xf numFmtId="2" fontId="34" fillId="25" borderId="10" xfId="35" applyNumberFormat="1" applyFont="1" applyFill="1" applyBorder="1" applyAlignment="1" applyProtection="1">
      <alignment horizontal="center" vertical="center"/>
      <protection hidden="1"/>
    </xf>
    <xf numFmtId="188" fontId="34" fillId="42" borderId="10" xfId="0" applyNumberFormat="1" applyFont="1" applyFill="1" applyBorder="1" applyProtection="1">
      <alignment vertical="center"/>
      <protection hidden="1"/>
    </xf>
    <xf numFmtId="189" fontId="34" fillId="42" borderId="10" xfId="35" applyNumberFormat="1" applyFont="1" applyFill="1" applyBorder="1" applyAlignment="1" applyProtection="1">
      <protection hidden="1"/>
    </xf>
    <xf numFmtId="0" fontId="34" fillId="42" borderId="10" xfId="0" applyNumberFormat="1" applyFont="1" applyFill="1" applyBorder="1" applyAlignment="1" applyProtection="1">
      <alignment horizontal="left" vertical="center"/>
      <protection hidden="1"/>
    </xf>
    <xf numFmtId="0" fontId="34" fillId="42" borderId="10" xfId="0" applyNumberFormat="1" applyFont="1" applyFill="1" applyBorder="1" applyAlignment="1" applyProtection="1">
      <alignment horizontal="left" vertical="center" shrinkToFit="1"/>
      <protection hidden="1"/>
    </xf>
    <xf numFmtId="38" fontId="34" fillId="42" borderId="26" xfId="35" applyFont="1" applyFill="1" applyBorder="1" applyAlignment="1" applyProtection="1">
      <alignment horizontal="center" vertical="center"/>
      <protection hidden="1"/>
    </xf>
    <xf numFmtId="49" fontId="34" fillId="42" borderId="10" xfId="0" applyNumberFormat="1" applyFont="1" applyFill="1" applyBorder="1" applyAlignment="1" applyProtection="1">
      <alignment horizontal="left" vertical="center"/>
      <protection hidden="1"/>
    </xf>
    <xf numFmtId="0" fontId="34" fillId="42" borderId="10" xfId="0" applyFont="1" applyFill="1" applyBorder="1" applyAlignment="1" applyProtection="1">
      <alignment horizontal="left" vertical="center" shrinkToFit="1"/>
      <protection hidden="1"/>
    </xf>
    <xf numFmtId="2" fontId="34" fillId="42" borderId="10" xfId="35" applyNumberFormat="1" applyFont="1" applyFill="1" applyBorder="1" applyAlignment="1" applyProtection="1">
      <alignment horizontal="center" vertical="center"/>
      <protection hidden="1"/>
    </xf>
    <xf numFmtId="2" fontId="34" fillId="42" borderId="26" xfId="35" applyNumberFormat="1" applyFont="1" applyFill="1" applyBorder="1" applyAlignment="1" applyProtection="1">
      <alignment horizontal="center" vertical="center"/>
      <protection hidden="1"/>
    </xf>
    <xf numFmtId="2" fontId="34" fillId="42" borderId="27" xfId="35" applyNumberFormat="1" applyFont="1" applyFill="1" applyBorder="1" applyAlignment="1" applyProtection="1">
      <alignment horizontal="center" vertical="center"/>
      <protection hidden="1"/>
    </xf>
    <xf numFmtId="178" fontId="34" fillId="42" borderId="10" xfId="35" applyNumberFormat="1" applyFont="1" applyFill="1" applyBorder="1" applyAlignment="1" applyProtection="1">
      <alignment horizontal="center" vertical="center"/>
      <protection hidden="1"/>
    </xf>
    <xf numFmtId="178" fontId="34" fillId="42" borderId="26" xfId="35" applyNumberFormat="1" applyFont="1" applyFill="1" applyBorder="1" applyAlignment="1" applyProtection="1">
      <alignment horizontal="center" vertical="center"/>
      <protection hidden="1"/>
    </xf>
    <xf numFmtId="178" fontId="34" fillId="42" borderId="27" xfId="35" applyNumberFormat="1" applyFont="1" applyFill="1" applyBorder="1" applyAlignment="1" applyProtection="1">
      <alignment horizontal="center" vertical="center"/>
      <protection hidden="1"/>
    </xf>
    <xf numFmtId="178" fontId="126" fillId="27" borderId="10" xfId="35" applyNumberFormat="1" applyFont="1" applyFill="1" applyBorder="1" applyAlignment="1" applyProtection="1">
      <alignment horizontal="center"/>
      <protection hidden="1"/>
    </xf>
    <xf numFmtId="178" fontId="126" fillId="27" borderId="27" xfId="35" applyNumberFormat="1" applyFont="1" applyFill="1" applyBorder="1" applyAlignment="1" applyProtection="1">
      <alignment horizontal="center"/>
      <protection hidden="1"/>
    </xf>
    <xf numFmtId="178" fontId="34" fillId="27" borderId="10" xfId="35" applyNumberFormat="1" applyFont="1" applyFill="1" applyBorder="1" applyAlignment="1" applyProtection="1">
      <alignment horizontal="center" vertical="center"/>
      <protection hidden="1"/>
    </xf>
    <xf numFmtId="178" fontId="34" fillId="27" borderId="26" xfId="35" applyNumberFormat="1" applyFont="1" applyFill="1" applyBorder="1" applyAlignment="1" applyProtection="1">
      <alignment horizontal="center" vertical="center"/>
      <protection hidden="1"/>
    </xf>
    <xf numFmtId="178" fontId="34" fillId="27" borderId="27" xfId="35" applyNumberFormat="1" applyFont="1" applyFill="1" applyBorder="1" applyAlignment="1" applyProtection="1">
      <alignment horizontal="center" vertical="center"/>
      <protection hidden="1"/>
    </xf>
    <xf numFmtId="178" fontId="156" fillId="27" borderId="10" xfId="35" applyNumberFormat="1" applyFont="1" applyFill="1" applyBorder="1" applyAlignment="1" applyProtection="1">
      <alignment horizontal="center" vertical="center"/>
      <protection hidden="1"/>
    </xf>
    <xf numFmtId="178" fontId="156" fillId="42" borderId="10" xfId="35" applyNumberFormat="1" applyFont="1" applyFill="1" applyBorder="1" applyAlignment="1" applyProtection="1">
      <alignment horizontal="center" vertical="center"/>
      <protection hidden="1"/>
    </xf>
    <xf numFmtId="38" fontId="126" fillId="27" borderId="10" xfId="35" applyFont="1" applyFill="1" applyBorder="1" applyAlignment="1" applyProtection="1">
      <alignment horizontal="center" vertical="center"/>
      <protection hidden="1"/>
    </xf>
    <xf numFmtId="2" fontId="126" fillId="27" borderId="10" xfId="35" applyNumberFormat="1" applyFont="1" applyFill="1" applyBorder="1" applyAlignment="1" applyProtection="1">
      <alignment horizontal="center" vertical="center"/>
      <protection hidden="1"/>
    </xf>
    <xf numFmtId="2" fontId="126" fillId="27" borderId="27" xfId="35" applyNumberFormat="1" applyFont="1" applyFill="1" applyBorder="1" applyAlignment="1" applyProtection="1">
      <alignment horizontal="center" vertical="center"/>
      <protection hidden="1"/>
    </xf>
    <xf numFmtId="179" fontId="126" fillId="27" borderId="26" xfId="0" applyNumberFormat="1" applyFont="1" applyFill="1" applyBorder="1" applyAlignment="1" applyProtection="1">
      <alignment horizontal="center" vertical="center"/>
      <protection hidden="1"/>
    </xf>
    <xf numFmtId="179" fontId="34" fillId="27" borderId="26" xfId="0" applyNumberFormat="1" applyFont="1" applyFill="1" applyBorder="1" applyAlignment="1" applyProtection="1">
      <alignment horizontal="center" vertical="center"/>
      <protection hidden="1"/>
    </xf>
    <xf numFmtId="38" fontId="126" fillId="27" borderId="26" xfId="35" applyFont="1" applyFill="1" applyBorder="1" applyAlignment="1" applyProtection="1">
      <alignment horizontal="center"/>
      <protection hidden="1"/>
    </xf>
    <xf numFmtId="2" fontId="126" fillId="27" borderId="26" xfId="35" applyNumberFormat="1" applyFont="1" applyFill="1" applyBorder="1" applyAlignment="1" applyProtection="1">
      <alignment horizontal="center"/>
      <protection hidden="1"/>
    </xf>
    <xf numFmtId="0" fontId="34" fillId="42" borderId="53" xfId="0" applyNumberFormat="1" applyFont="1" applyFill="1" applyBorder="1" applyAlignment="1" applyProtection="1">
      <alignment horizontal="left" vertical="center"/>
      <protection hidden="1"/>
    </xf>
    <xf numFmtId="189" fontId="126" fillId="27" borderId="10" xfId="0" applyNumberFormat="1" applyFont="1" applyFill="1" applyBorder="1">
      <alignment vertical="center"/>
    </xf>
    <xf numFmtId="2" fontId="34" fillId="27" borderId="10" xfId="0" applyNumberFormat="1" applyFont="1" applyFill="1" applyBorder="1" applyAlignment="1" applyProtection="1">
      <alignment horizontal="left" vertical="center" shrinkToFit="1"/>
      <protection hidden="1"/>
    </xf>
    <xf numFmtId="38" fontId="34" fillId="27" borderId="10" xfId="35" applyFont="1" applyFill="1" applyBorder="1" applyAlignment="1" applyProtection="1">
      <alignment horizontal="center"/>
      <protection hidden="1"/>
    </xf>
    <xf numFmtId="2" fontId="34" fillId="27" borderId="10" xfId="35" applyNumberFormat="1" applyFont="1" applyFill="1" applyBorder="1" applyAlignment="1" applyProtection="1">
      <alignment horizontal="center"/>
      <protection hidden="1"/>
    </xf>
    <xf numFmtId="2" fontId="34" fillId="27" borderId="27" xfId="35" applyNumberFormat="1" applyFont="1" applyFill="1" applyBorder="1" applyAlignment="1" applyProtection="1">
      <alignment horizontal="center"/>
      <protection hidden="1"/>
    </xf>
    <xf numFmtId="0" fontId="24" fillId="31" borderId="10" xfId="0" applyNumberFormat="1" applyFont="1" applyFill="1" applyBorder="1" applyAlignment="1" applyProtection="1">
      <alignment horizontal="center" vertical="center"/>
      <protection hidden="1"/>
    </xf>
    <xf numFmtId="0" fontId="24" fillId="35" borderId="10" xfId="0" applyNumberFormat="1" applyFont="1" applyFill="1" applyBorder="1" applyAlignment="1" applyProtection="1">
      <alignment horizontal="center" vertical="center" shrinkToFit="1"/>
      <protection hidden="1"/>
    </xf>
    <xf numFmtId="188" fontId="126" fillId="31" borderId="10" xfId="35" applyNumberFormat="1" applyFont="1" applyFill="1" applyBorder="1" applyAlignment="1" applyProtection="1">
      <alignment horizontal="right" vertical="center"/>
      <protection hidden="1"/>
    </xf>
    <xf numFmtId="0" fontId="126" fillId="27" borderId="10" xfId="0" quotePrefix="1" applyNumberFormat="1" applyFont="1" applyFill="1" applyBorder="1" applyAlignment="1" applyProtection="1">
      <alignment horizontal="left" vertical="center"/>
      <protection hidden="1"/>
    </xf>
    <xf numFmtId="189" fontId="34" fillId="27" borderId="10" xfId="0" applyNumberFormat="1" applyFont="1" applyFill="1" applyBorder="1">
      <alignment vertical="center"/>
    </xf>
    <xf numFmtId="0" fontId="34" fillId="27" borderId="10" xfId="0" quotePrefix="1" applyNumberFormat="1" applyFont="1" applyFill="1" applyBorder="1" applyAlignment="1" applyProtection="1">
      <alignment horizontal="left" vertical="center"/>
      <protection hidden="1"/>
    </xf>
    <xf numFmtId="49" fontId="34" fillId="27" borderId="10" xfId="0" quotePrefix="1" applyNumberFormat="1" applyFont="1" applyFill="1" applyBorder="1" applyAlignment="1" applyProtection="1">
      <alignment horizontal="left" vertical="center"/>
      <protection hidden="1"/>
    </xf>
    <xf numFmtId="0" fontId="126" fillId="31" borderId="10" xfId="0" applyNumberFormat="1" applyFont="1" applyFill="1" applyBorder="1" applyAlignment="1" applyProtection="1">
      <alignment vertical="center"/>
      <protection hidden="1"/>
    </xf>
    <xf numFmtId="49" fontId="126" fillId="31" borderId="10" xfId="0" applyNumberFormat="1" applyFont="1" applyFill="1" applyBorder="1" applyAlignment="1" applyProtection="1">
      <alignment vertical="center"/>
      <protection hidden="1"/>
    </xf>
    <xf numFmtId="2" fontId="126" fillId="31" borderId="26" xfId="35" applyNumberFormat="1" applyFont="1" applyFill="1" applyBorder="1" applyAlignment="1" applyProtection="1">
      <alignment horizontal="center" vertical="center"/>
      <protection hidden="1"/>
    </xf>
    <xf numFmtId="2" fontId="126" fillId="31" borderId="27" xfId="0" applyNumberFormat="1" applyFont="1" applyFill="1" applyBorder="1" applyAlignment="1" applyProtection="1">
      <alignment horizontal="center"/>
      <protection hidden="1"/>
    </xf>
    <xf numFmtId="2" fontId="126" fillId="31" borderId="10" xfId="0" applyNumberFormat="1" applyFont="1" applyFill="1" applyBorder="1" applyAlignment="1" applyProtection="1">
      <alignment horizontal="center"/>
      <protection hidden="1"/>
    </xf>
    <xf numFmtId="2" fontId="126" fillId="27" borderId="27" xfId="0" applyNumberFormat="1" applyFont="1" applyFill="1" applyBorder="1" applyAlignment="1" applyProtection="1">
      <alignment horizontal="center"/>
      <protection hidden="1"/>
    </xf>
    <xf numFmtId="2" fontId="126" fillId="27" borderId="10" xfId="0" applyNumberFormat="1" applyFont="1" applyFill="1" applyBorder="1" applyAlignment="1" applyProtection="1">
      <alignment horizontal="center"/>
      <protection hidden="1"/>
    </xf>
    <xf numFmtId="2" fontId="34" fillId="27" borderId="27" xfId="0" applyNumberFormat="1" applyFont="1" applyFill="1" applyBorder="1" applyAlignment="1" applyProtection="1">
      <alignment horizontal="center"/>
      <protection hidden="1"/>
    </xf>
    <xf numFmtId="197" fontId="126" fillId="27" borderId="27" xfId="0" applyNumberFormat="1" applyFont="1" applyFill="1" applyBorder="1" applyAlignment="1" applyProtection="1">
      <alignment horizontal="center"/>
      <protection hidden="1"/>
    </xf>
    <xf numFmtId="49" fontId="126" fillId="27" borderId="10" xfId="0" applyNumberFormat="1" applyFont="1" applyFill="1" applyBorder="1" applyAlignment="1" applyProtection="1">
      <alignment vertical="center"/>
      <protection hidden="1"/>
    </xf>
    <xf numFmtId="49" fontId="34" fillId="27" borderId="10" xfId="0" applyNumberFormat="1" applyFont="1" applyFill="1" applyBorder="1" applyAlignment="1" applyProtection="1">
      <alignment vertical="center"/>
      <protection hidden="1"/>
    </xf>
    <xf numFmtId="0" fontId="34" fillId="27" borderId="10" xfId="0" applyNumberFormat="1" applyFont="1" applyFill="1" applyBorder="1" applyAlignment="1" applyProtection="1">
      <alignment vertical="center"/>
      <protection hidden="1"/>
    </xf>
    <xf numFmtId="0" fontId="34" fillId="27" borderId="50" xfId="0" applyNumberFormat="1" applyFont="1" applyFill="1" applyBorder="1" applyAlignment="1" applyProtection="1">
      <alignment horizontal="left" vertical="center" shrinkToFit="1"/>
      <protection hidden="1"/>
    </xf>
    <xf numFmtId="0" fontId="0" fillId="0" borderId="0" xfId="0" applyFill="1" applyProtection="1">
      <alignment vertical="center"/>
      <protection hidden="1"/>
    </xf>
    <xf numFmtId="0" fontId="147" fillId="0" borderId="0" xfId="46" applyFont="1" applyFill="1" applyProtection="1">
      <protection hidden="1"/>
    </xf>
    <xf numFmtId="0" fontId="164" fillId="0" borderId="0" xfId="0" applyFont="1">
      <alignment vertical="center"/>
    </xf>
    <xf numFmtId="0" fontId="164" fillId="0" borderId="0" xfId="0" applyFont="1" applyFill="1">
      <alignment vertical="center"/>
    </xf>
    <xf numFmtId="0" fontId="164" fillId="0" borderId="0" xfId="0" applyFont="1" applyBorder="1" applyAlignment="1">
      <alignment horizontal="left" vertical="center" wrapText="1"/>
    </xf>
    <xf numFmtId="0" fontId="164" fillId="0" borderId="0" xfId="0" applyFont="1" applyAlignment="1" applyProtection="1">
      <alignment vertical="center"/>
      <protection hidden="1"/>
    </xf>
    <xf numFmtId="0" fontId="164" fillId="27" borderId="16" xfId="0" applyFont="1" applyFill="1" applyBorder="1" applyAlignment="1" applyProtection="1">
      <alignment horizontal="center" vertical="center" wrapText="1"/>
      <protection hidden="1"/>
    </xf>
    <xf numFmtId="0" fontId="164" fillId="27" borderId="13" xfId="0" applyFont="1" applyFill="1" applyBorder="1" applyAlignment="1" applyProtection="1">
      <alignment horizontal="left" vertical="top" wrapText="1"/>
      <protection hidden="1"/>
    </xf>
    <xf numFmtId="0" fontId="164" fillId="27" borderId="13" xfId="0" applyFont="1" applyFill="1" applyBorder="1" applyAlignment="1" applyProtection="1">
      <alignment horizontal="left" vertical="center" wrapText="1"/>
      <protection hidden="1"/>
    </xf>
    <xf numFmtId="0" fontId="164" fillId="27" borderId="175" xfId="0" applyFont="1" applyFill="1" applyBorder="1" applyAlignment="1" applyProtection="1">
      <alignment horizontal="center" vertical="center" wrapText="1"/>
      <protection hidden="1"/>
    </xf>
    <xf numFmtId="0" fontId="164" fillId="27" borderId="11" xfId="0" applyFont="1" applyFill="1" applyBorder="1" applyAlignment="1" applyProtection="1">
      <alignment horizontal="center" vertical="center" wrapText="1"/>
      <protection hidden="1"/>
    </xf>
    <xf numFmtId="0" fontId="164" fillId="27" borderId="165" xfId="0" applyFont="1" applyFill="1" applyBorder="1" applyAlignment="1" applyProtection="1">
      <alignment horizontal="center" vertical="center" wrapText="1"/>
      <protection hidden="1"/>
    </xf>
    <xf numFmtId="0" fontId="164" fillId="27" borderId="169" xfId="0" applyFont="1" applyFill="1" applyBorder="1" applyAlignment="1" applyProtection="1">
      <alignment horizontal="left" vertical="top" wrapText="1"/>
      <protection hidden="1"/>
    </xf>
    <xf numFmtId="0" fontId="164" fillId="27" borderId="169" xfId="0" applyFont="1" applyFill="1" applyBorder="1" applyAlignment="1" applyProtection="1">
      <alignment horizontal="left" vertical="center" wrapText="1"/>
      <protection hidden="1"/>
    </xf>
    <xf numFmtId="0" fontId="164" fillId="0" borderId="0" xfId="0" applyFont="1" applyAlignment="1">
      <alignment vertical="top"/>
    </xf>
    <xf numFmtId="0" fontId="164" fillId="27" borderId="50" xfId="0" applyFont="1" applyFill="1" applyBorder="1">
      <alignment vertical="center"/>
    </xf>
    <xf numFmtId="0" fontId="164" fillId="27" borderId="163" xfId="0" applyFont="1" applyFill="1" applyBorder="1" applyAlignment="1">
      <alignment vertical="center"/>
    </xf>
    <xf numFmtId="0" fontId="164" fillId="27" borderId="87" xfId="0" applyFont="1" applyFill="1" applyBorder="1" applyAlignment="1">
      <alignment vertical="center"/>
    </xf>
    <xf numFmtId="0" fontId="164" fillId="27" borderId="163" xfId="0" applyFont="1" applyFill="1" applyBorder="1" applyAlignment="1">
      <alignment vertical="top"/>
    </xf>
    <xf numFmtId="0" fontId="164" fillId="27" borderId="164" xfId="0" applyFont="1" applyFill="1" applyBorder="1" applyAlignment="1">
      <alignment vertical="center"/>
    </xf>
    <xf numFmtId="0" fontId="164" fillId="27" borderId="13" xfId="0" applyFont="1" applyFill="1" applyBorder="1" applyAlignment="1">
      <alignment vertical="center"/>
    </xf>
    <xf numFmtId="0" fontId="164" fillId="27" borderId="13" xfId="0" applyFont="1" applyFill="1" applyBorder="1" applyAlignment="1">
      <alignment vertical="top"/>
    </xf>
    <xf numFmtId="0" fontId="164" fillId="27" borderId="14" xfId="0" applyFont="1" applyFill="1" applyBorder="1" applyAlignment="1">
      <alignment vertical="center"/>
    </xf>
    <xf numFmtId="0" fontId="164" fillId="27" borderId="169" xfId="0" applyFont="1" applyFill="1" applyBorder="1" applyAlignment="1">
      <alignment vertical="center"/>
    </xf>
    <xf numFmtId="0" fontId="164" fillId="27" borderId="169" xfId="0" applyFont="1" applyFill="1" applyBorder="1" applyAlignment="1">
      <alignment vertical="top"/>
    </xf>
    <xf numFmtId="0" fontId="164" fillId="27" borderId="168" xfId="0" applyFont="1" applyFill="1" applyBorder="1" applyAlignment="1">
      <alignment vertical="center"/>
    </xf>
    <xf numFmtId="0" fontId="164" fillId="0" borderId="0" xfId="0" applyFont="1" applyFill="1" applyAlignment="1" applyProtection="1">
      <alignment vertical="center"/>
      <protection hidden="1"/>
    </xf>
    <xf numFmtId="0" fontId="164" fillId="0" borderId="0" xfId="0" applyFont="1" applyFill="1" applyProtection="1">
      <alignment vertical="center"/>
    </xf>
    <xf numFmtId="0" fontId="49" fillId="0" borderId="0" xfId="0" applyFont="1" applyFill="1" applyAlignment="1" applyProtection="1">
      <alignment horizontal="right" vertical="center"/>
      <protection hidden="1"/>
    </xf>
    <xf numFmtId="0" fontId="164" fillId="27" borderId="13" xfId="0" applyFont="1" applyFill="1" applyBorder="1" applyAlignment="1">
      <alignment horizontal="left" vertical="center"/>
    </xf>
    <xf numFmtId="0" fontId="164" fillId="27" borderId="169" xfId="0" applyFont="1" applyFill="1" applyBorder="1" applyAlignment="1">
      <alignment horizontal="left" vertical="center"/>
    </xf>
    <xf numFmtId="0" fontId="164" fillId="0" borderId="57" xfId="0" applyFont="1" applyBorder="1" applyAlignment="1">
      <alignment horizontal="left" vertical="center" wrapText="1"/>
    </xf>
    <xf numFmtId="177" fontId="29" fillId="0" borderId="0" xfId="0" applyNumberFormat="1" applyFont="1" applyFill="1" applyBorder="1" applyAlignment="1" applyProtection="1">
      <alignment horizontal="justify" vertical="center"/>
      <protection hidden="1"/>
    </xf>
    <xf numFmtId="0" fontId="164" fillId="27" borderId="16" xfId="0" applyFont="1" applyFill="1" applyBorder="1" applyAlignment="1">
      <alignment horizontal="center" vertical="center" wrapText="1"/>
    </xf>
    <xf numFmtId="0" fontId="164" fillId="27" borderId="11" xfId="0" applyFont="1" applyFill="1" applyBorder="1" applyAlignment="1">
      <alignment horizontal="center" vertical="center" wrapText="1"/>
    </xf>
    <xf numFmtId="0" fontId="164" fillId="27" borderId="166" xfId="0" applyFont="1" applyFill="1" applyBorder="1" applyAlignment="1">
      <alignment horizontal="center" vertical="center" wrapText="1"/>
    </xf>
    <xf numFmtId="0" fontId="164" fillId="0" borderId="0" xfId="0" applyFont="1" applyProtection="1">
      <alignment vertical="center"/>
    </xf>
    <xf numFmtId="0" fontId="164" fillId="0" borderId="0" xfId="0" applyFont="1" applyBorder="1" applyAlignment="1">
      <alignment vertical="center" wrapText="1"/>
    </xf>
    <xf numFmtId="194" fontId="27" fillId="44" borderId="144" xfId="0" applyNumberFormat="1" applyFont="1" applyFill="1" applyBorder="1" applyAlignment="1" applyProtection="1">
      <alignment horizontal="center" vertical="center"/>
      <protection hidden="1"/>
    </xf>
    <xf numFmtId="194" fontId="27" fillId="31" borderId="144" xfId="0" applyNumberFormat="1" applyFont="1" applyFill="1" applyBorder="1" applyAlignment="1" applyProtection="1">
      <alignment horizontal="center" vertical="center"/>
      <protection hidden="1"/>
    </xf>
    <xf numFmtId="38" fontId="165" fillId="27" borderId="10" xfId="35" applyFont="1" applyFill="1" applyBorder="1" applyAlignment="1" applyProtection="1">
      <alignment horizontal="center" vertical="center"/>
      <protection hidden="1"/>
    </xf>
    <xf numFmtId="2" fontId="165" fillId="27" borderId="27" xfId="35" applyNumberFormat="1" applyFont="1" applyFill="1" applyBorder="1" applyAlignment="1" applyProtection="1">
      <alignment horizontal="center" vertical="center"/>
      <protection hidden="1"/>
    </xf>
    <xf numFmtId="2" fontId="165" fillId="27" borderId="10" xfId="35" applyNumberFormat="1" applyFont="1" applyFill="1" applyBorder="1" applyAlignment="1" applyProtection="1">
      <alignment horizontal="center" vertical="center"/>
      <protection hidden="1"/>
    </xf>
    <xf numFmtId="193" fontId="29" fillId="0" borderId="17" xfId="35" applyNumberFormat="1" applyFont="1" applyFill="1" applyBorder="1" applyAlignment="1" applyProtection="1">
      <alignment horizontal="center" vertical="center"/>
      <protection hidden="1"/>
    </xf>
    <xf numFmtId="194" fontId="27" fillId="31" borderId="92" xfId="0" applyNumberFormat="1" applyFont="1" applyFill="1" applyBorder="1" applyAlignment="1" applyProtection="1">
      <alignment horizontal="center" vertical="center"/>
      <protection hidden="1"/>
    </xf>
    <xf numFmtId="0" fontId="29" fillId="27" borderId="55" xfId="0" applyFont="1" applyFill="1" applyBorder="1" applyAlignment="1" applyProtection="1">
      <alignment horizontal="center" vertical="center" wrapText="1"/>
      <protection hidden="1"/>
    </xf>
    <xf numFmtId="0" fontId="7" fillId="27" borderId="72" xfId="0" applyFont="1" applyFill="1" applyBorder="1" applyAlignment="1" applyProtection="1"/>
    <xf numFmtId="0" fontId="46" fillId="27" borderId="73" xfId="0" applyFont="1" applyFill="1" applyBorder="1" applyAlignment="1" applyProtection="1"/>
    <xf numFmtId="0" fontId="34" fillId="27" borderId="73" xfId="0" applyFont="1" applyFill="1" applyBorder="1" applyProtection="1">
      <alignment vertical="center"/>
    </xf>
    <xf numFmtId="0" fontId="0" fillId="27" borderId="73" xfId="0" applyFill="1" applyBorder="1" applyProtection="1">
      <alignment vertical="center"/>
    </xf>
    <xf numFmtId="0" fontId="34" fillId="27" borderId="73" xfId="0" applyFont="1" applyFill="1" applyBorder="1" applyAlignment="1" applyProtection="1">
      <alignment horizontal="right" vertical="center"/>
    </xf>
    <xf numFmtId="0" fontId="34" fillId="27" borderId="73" xfId="0" applyFont="1" applyFill="1" applyBorder="1" applyAlignment="1" applyProtection="1">
      <alignment vertical="center"/>
    </xf>
    <xf numFmtId="0" fontId="7" fillId="27" borderId="73" xfId="0" applyFont="1" applyFill="1" applyBorder="1" applyAlignment="1" applyProtection="1">
      <alignment horizontal="right"/>
    </xf>
    <xf numFmtId="0" fontId="7" fillId="27" borderId="73" xfId="0" applyFont="1" applyFill="1" applyBorder="1" applyAlignment="1" applyProtection="1"/>
    <xf numFmtId="0" fontId="0" fillId="27" borderId="61" xfId="0" applyFill="1" applyBorder="1" applyProtection="1">
      <alignment vertical="center"/>
    </xf>
    <xf numFmtId="0" fontId="126" fillId="27" borderId="0" xfId="0" applyFont="1" applyFill="1" applyBorder="1" applyProtection="1">
      <alignment vertical="center"/>
    </xf>
    <xf numFmtId="38" fontId="34" fillId="41" borderId="144" xfId="35" applyFont="1" applyFill="1" applyBorder="1" applyAlignment="1" applyProtection="1">
      <alignment horizontal="center" vertical="center"/>
      <protection locked="0"/>
    </xf>
    <xf numFmtId="0" fontId="126" fillId="27" borderId="0" xfId="0" applyFont="1" applyFill="1" applyBorder="1" applyAlignment="1" applyProtection="1">
      <alignment vertical="center"/>
    </xf>
    <xf numFmtId="0" fontId="34" fillId="27" borderId="63" xfId="0" applyFont="1" applyFill="1" applyBorder="1" applyAlignment="1" applyProtection="1">
      <alignment horizontal="right" vertical="center"/>
    </xf>
    <xf numFmtId="0" fontId="34" fillId="27" borderId="62" xfId="0" applyFont="1" applyFill="1" applyBorder="1" applyProtection="1">
      <alignment vertical="center"/>
    </xf>
    <xf numFmtId="0" fontId="34" fillId="27" borderId="0" xfId="0" applyFont="1" applyFill="1" applyBorder="1" applyProtection="1">
      <alignment vertical="center"/>
    </xf>
    <xf numFmtId="0" fontId="34" fillId="27" borderId="0" xfId="44" applyFont="1" applyFill="1" applyBorder="1" applyAlignment="1" applyProtection="1">
      <alignment horizontal="right"/>
    </xf>
    <xf numFmtId="0" fontId="34" fillId="27" borderId="0" xfId="44" applyFont="1" applyFill="1" applyBorder="1" applyAlignment="1" applyProtection="1"/>
    <xf numFmtId="0" fontId="34" fillId="27" borderId="62" xfId="44" applyFont="1" applyFill="1" applyBorder="1" applyAlignment="1" applyProtection="1">
      <alignment vertical="center"/>
    </xf>
    <xf numFmtId="0" fontId="34" fillId="27" borderId="0" xfId="0" applyFont="1" applyFill="1" applyBorder="1" applyAlignment="1" applyProtection="1">
      <alignment horizontal="right" vertical="center"/>
    </xf>
    <xf numFmtId="0" fontId="34" fillId="27" borderId="0" xfId="0" applyFont="1" applyFill="1" applyBorder="1" applyAlignment="1" applyProtection="1">
      <alignment horizontal="left" vertical="center"/>
    </xf>
    <xf numFmtId="178" fontId="34" fillId="27" borderId="10" xfId="28" applyNumberFormat="1" applyFont="1" applyFill="1" applyBorder="1" applyProtection="1">
      <alignment vertical="center"/>
    </xf>
    <xf numFmtId="40" fontId="34" fillId="27" borderId="10" xfId="0" applyNumberFormat="1" applyFont="1" applyFill="1" applyBorder="1" applyProtection="1">
      <alignment vertical="center"/>
    </xf>
    <xf numFmtId="178" fontId="34" fillId="27" borderId="0" xfId="0" applyNumberFormat="1" applyFont="1" applyFill="1" applyBorder="1" applyAlignment="1" applyProtection="1">
      <alignment horizontal="left" vertical="center"/>
    </xf>
    <xf numFmtId="38" fontId="34" fillId="27" borderId="10" xfId="35" applyFont="1" applyFill="1" applyBorder="1" applyProtection="1">
      <alignment vertical="center"/>
    </xf>
    <xf numFmtId="40" fontId="34" fillId="27" borderId="62" xfId="0" applyNumberFormat="1" applyFont="1" applyFill="1" applyBorder="1" applyProtection="1">
      <alignment vertical="center"/>
    </xf>
    <xf numFmtId="200" fontId="34" fillId="27" borderId="0" xfId="0" applyNumberFormat="1" applyFont="1" applyFill="1" applyBorder="1" applyProtection="1">
      <alignment vertical="center"/>
    </xf>
    <xf numFmtId="40" fontId="34" fillId="27" borderId="0" xfId="0" applyNumberFormat="1" applyFont="1" applyFill="1" applyBorder="1" applyProtection="1">
      <alignment vertical="center"/>
    </xf>
    <xf numFmtId="178" fontId="34" fillId="27" borderId="63" xfId="0" applyNumberFormat="1" applyFont="1" applyFill="1" applyBorder="1" applyAlignment="1" applyProtection="1">
      <alignment horizontal="right" vertical="center"/>
    </xf>
    <xf numFmtId="177" fontId="34" fillId="27" borderId="10" xfId="44" applyNumberFormat="1" applyFont="1" applyFill="1" applyBorder="1" applyAlignment="1" applyProtection="1">
      <alignment horizontal="center" vertical="center"/>
    </xf>
    <xf numFmtId="188" fontId="34" fillId="27" borderId="10" xfId="28" applyNumberFormat="1" applyFont="1" applyFill="1" applyBorder="1" applyAlignment="1" applyProtection="1">
      <alignment horizontal="center" vertical="center"/>
    </xf>
    <xf numFmtId="0" fontId="41" fillId="27" borderId="0" xfId="44" applyFont="1" applyFill="1" applyBorder="1" applyAlignment="1" applyProtection="1">
      <alignment horizontal="left" vertical="center"/>
    </xf>
    <xf numFmtId="0" fontId="29" fillId="27" borderId="180" xfId="0" applyFont="1" applyFill="1" applyBorder="1" applyAlignment="1">
      <alignment vertical="center"/>
    </xf>
    <xf numFmtId="0" fontId="34" fillId="27" borderId="0" xfId="0" applyFont="1" applyFill="1" applyBorder="1" applyAlignment="1" applyProtection="1">
      <alignment horizontal="center" vertical="center"/>
      <protection hidden="1"/>
    </xf>
    <xf numFmtId="0" fontId="34" fillId="27" borderId="24" xfId="0" applyFont="1" applyFill="1" applyBorder="1" applyAlignment="1" applyProtection="1">
      <alignment horizontal="right" vertical="center"/>
      <protection hidden="1"/>
    </xf>
    <xf numFmtId="178" fontId="34" fillId="27" borderId="28" xfId="0" applyNumberFormat="1" applyFont="1" applyFill="1" applyBorder="1" applyProtection="1">
      <alignment vertical="center"/>
      <protection hidden="1"/>
    </xf>
    <xf numFmtId="0" fontId="29" fillId="27" borderId="162" xfId="0" applyFont="1" applyFill="1" applyBorder="1" applyAlignment="1" applyProtection="1">
      <alignment vertical="center"/>
      <protection hidden="1"/>
    </xf>
    <xf numFmtId="179" fontId="29" fillId="31" borderId="53" xfId="0" applyNumberFormat="1" applyFont="1" applyFill="1" applyBorder="1" applyAlignment="1" applyProtection="1">
      <alignment horizontal="left" vertical="center"/>
      <protection hidden="1"/>
    </xf>
    <xf numFmtId="0" fontId="27" fillId="27" borderId="186"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7" fillId="27" borderId="26" xfId="0" applyNumberFormat="1" applyFont="1" applyFill="1" applyBorder="1" applyAlignment="1" applyProtection="1">
      <alignment horizontal="centerContinuous" vertical="center"/>
      <protection hidden="1"/>
    </xf>
    <xf numFmtId="0" fontId="29" fillId="27" borderId="55" xfId="0" applyNumberFormat="1" applyFont="1" applyFill="1" applyBorder="1" applyAlignment="1" applyProtection="1">
      <alignment horizontal="centerContinuous" vertical="center"/>
      <protection hidden="1"/>
    </xf>
    <xf numFmtId="0" fontId="29" fillId="27" borderId="199" xfId="0" applyFont="1" applyFill="1" applyBorder="1" applyAlignment="1" applyProtection="1">
      <alignment horizontal="left" vertical="center"/>
      <protection hidden="1"/>
    </xf>
    <xf numFmtId="0" fontId="29" fillId="31" borderId="26" xfId="0" applyFont="1" applyFill="1" applyBorder="1" applyAlignment="1" applyProtection="1">
      <alignment horizontal="centerContinuous" vertical="center"/>
      <protection hidden="1"/>
    </xf>
    <xf numFmtId="0" fontId="29" fillId="27" borderId="179" xfId="0" applyFont="1" applyFill="1" applyBorder="1" applyAlignment="1">
      <alignment vertical="center"/>
    </xf>
    <xf numFmtId="0" fontId="29" fillId="27" borderId="179" xfId="0" applyFont="1" applyFill="1" applyBorder="1" applyAlignment="1" applyProtection="1">
      <alignment horizontal="left" vertical="center"/>
      <protection hidden="1"/>
    </xf>
    <xf numFmtId="0" fontId="164" fillId="27" borderId="179" xfId="0" applyFont="1" applyFill="1" applyBorder="1" applyAlignment="1">
      <alignment vertical="center"/>
    </xf>
    <xf numFmtId="0" fontId="164" fillId="27" borderId="179" xfId="0" applyFont="1" applyFill="1" applyBorder="1" applyAlignment="1">
      <alignment vertical="top"/>
    </xf>
    <xf numFmtId="0" fontId="164" fillId="27" borderId="180" xfId="0" applyFont="1" applyFill="1" applyBorder="1" applyAlignment="1">
      <alignment vertical="center"/>
    </xf>
    <xf numFmtId="0" fontId="29" fillId="27" borderId="169" xfId="0" applyFont="1" applyFill="1" applyBorder="1" applyAlignment="1" applyProtection="1">
      <alignment vertical="center"/>
    </xf>
    <xf numFmtId="0" fontId="166" fillId="27" borderId="0" xfId="0" applyFont="1" applyFill="1" applyBorder="1" applyProtection="1">
      <alignment vertical="center"/>
    </xf>
    <xf numFmtId="177" fontId="29" fillId="27" borderId="163" xfId="0" applyNumberFormat="1" applyFont="1" applyFill="1" applyBorder="1" applyAlignment="1" applyProtection="1">
      <alignment vertical="center" wrapText="1"/>
      <protection hidden="1"/>
    </xf>
    <xf numFmtId="0" fontId="29" fillId="27" borderId="173" xfId="0" applyFont="1" applyFill="1" applyBorder="1" applyAlignment="1" applyProtection="1">
      <alignment horizontal="left" vertical="center"/>
      <protection hidden="1"/>
    </xf>
    <xf numFmtId="191" fontId="29" fillId="31" borderId="27" xfId="0" applyNumberFormat="1" applyFont="1" applyFill="1" applyBorder="1" applyAlignment="1" applyProtection="1">
      <alignment horizontal="center" vertical="center"/>
      <protection hidden="1"/>
    </xf>
    <xf numFmtId="0" fontId="28" fillId="0" borderId="0" xfId="0" applyFont="1" applyFill="1" applyProtection="1">
      <alignment vertical="center"/>
      <protection hidden="1"/>
    </xf>
    <xf numFmtId="0" fontId="46" fillId="29" borderId="0" xfId="0" applyFont="1" applyFill="1" applyAlignment="1" applyProtection="1">
      <alignment vertical="center"/>
      <protection hidden="1"/>
    </xf>
    <xf numFmtId="0" fontId="151" fillId="29" borderId="0" xfId="0" applyFont="1" applyFill="1" applyAlignment="1" applyProtection="1">
      <alignment vertical="center"/>
      <protection hidden="1"/>
    </xf>
    <xf numFmtId="0" fontId="152" fillId="29" borderId="0" xfId="0" applyFont="1" applyFill="1" applyAlignment="1" applyProtection="1">
      <alignment vertical="center"/>
      <protection hidden="1"/>
    </xf>
    <xf numFmtId="0" fontId="46" fillId="29" borderId="0" xfId="0" applyFont="1" applyFill="1" applyAlignment="1" applyProtection="1">
      <alignment horizontal="left" vertical="center"/>
      <protection hidden="1"/>
    </xf>
    <xf numFmtId="0" fontId="151" fillId="29" borderId="0" xfId="0" applyFont="1" applyFill="1" applyAlignment="1" applyProtection="1">
      <alignment vertical="center"/>
    </xf>
    <xf numFmtId="0" fontId="29" fillId="27" borderId="87"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29" fillId="27" borderId="12" xfId="0" applyFont="1" applyFill="1" applyBorder="1" applyAlignment="1" applyProtection="1">
      <alignment vertical="center"/>
      <protection hidden="1"/>
    </xf>
    <xf numFmtId="0" fontId="151" fillId="29" borderId="0" xfId="0" applyFont="1" applyFill="1" applyAlignment="1" applyProtection="1">
      <alignment horizontal="left" vertical="center"/>
      <protection hidden="1"/>
    </xf>
    <xf numFmtId="0" fontId="27" fillId="29" borderId="0" xfId="0" applyFont="1" applyFill="1" applyProtection="1">
      <alignment vertical="center"/>
    </xf>
    <xf numFmtId="0" fontId="29" fillId="29" borderId="0" xfId="0" applyFont="1" applyFill="1" applyProtection="1">
      <alignment vertical="center"/>
    </xf>
    <xf numFmtId="0" fontId="38" fillId="29" borderId="0" xfId="0" applyFont="1" applyFill="1" applyBorder="1" applyAlignment="1" applyProtection="1">
      <alignment horizontal="justify"/>
      <protection hidden="1"/>
    </xf>
    <xf numFmtId="205" fontId="126" fillId="27" borderId="10" xfId="35" applyNumberFormat="1" applyFont="1" applyFill="1" applyBorder="1" applyAlignment="1" applyProtection="1">
      <alignment horizontal="center" vertical="center"/>
      <protection hidden="1"/>
    </xf>
    <xf numFmtId="2" fontId="34" fillId="47" borderId="10" xfId="35" applyNumberFormat="1" applyFont="1" applyFill="1" applyBorder="1" applyAlignment="1" applyProtection="1">
      <alignment horizontal="center" vertical="center"/>
      <protection hidden="1"/>
    </xf>
    <xf numFmtId="0" fontId="29" fillId="31" borderId="89" xfId="0" applyFont="1" applyFill="1" applyBorder="1" applyAlignment="1" applyProtection="1">
      <alignment horizontal="centerContinuous" vertical="center"/>
      <protection hidden="1"/>
    </xf>
    <xf numFmtId="178" fontId="34" fillId="27" borderId="10" xfId="44" applyNumberFormat="1" applyFont="1" applyFill="1" applyBorder="1" applyAlignment="1" applyProtection="1">
      <alignment horizontal="right" vertical="center"/>
    </xf>
    <xf numFmtId="0" fontId="126" fillId="27" borderId="0" xfId="0" applyFont="1" applyFill="1" applyBorder="1" applyAlignment="1" applyProtection="1">
      <alignment horizontal="center" vertical="center"/>
    </xf>
    <xf numFmtId="179" fontId="29" fillId="31" borderId="10" xfId="0" applyNumberFormat="1" applyFont="1" applyFill="1" applyBorder="1" applyAlignment="1" applyProtection="1">
      <alignment horizontal="center" vertical="center"/>
      <protection hidden="1"/>
    </xf>
    <xf numFmtId="200" fontId="34" fillId="0" borderId="26" xfId="44" applyNumberFormat="1" applyFont="1" applyBorder="1" applyAlignment="1"/>
    <xf numFmtId="0" fontId="29" fillId="0" borderId="64" xfId="44" applyFont="1" applyBorder="1" applyAlignment="1"/>
    <xf numFmtId="0" fontId="0" fillId="0" borderId="52" xfId="0" applyBorder="1" applyAlignment="1">
      <alignment vertical="top"/>
    </xf>
    <xf numFmtId="0" fontId="0" fillId="0" borderId="57" xfId="0" applyBorder="1" applyAlignment="1">
      <alignment vertical="top"/>
    </xf>
    <xf numFmtId="0" fontId="0" fillId="0" borderId="51" xfId="0" applyBorder="1" applyAlignment="1">
      <alignment vertical="top"/>
    </xf>
    <xf numFmtId="0" fontId="0" fillId="0" borderId="26" xfId="0" applyBorder="1" applyAlignment="1">
      <alignment vertical="top"/>
    </xf>
    <xf numFmtId="0" fontId="0" fillId="0" borderId="55" xfId="0" applyBorder="1" applyAlignment="1">
      <alignment vertical="top"/>
    </xf>
    <xf numFmtId="0" fontId="0" fillId="0" borderId="50" xfId="0" applyBorder="1" applyAlignment="1">
      <alignment vertical="top"/>
    </xf>
    <xf numFmtId="0" fontId="0" fillId="0" borderId="15" xfId="0" applyBorder="1" applyAlignment="1">
      <alignment vertical="top"/>
    </xf>
    <xf numFmtId="0" fontId="0" fillId="0" borderId="56" xfId="0" applyFill="1" applyBorder="1" applyAlignment="1">
      <alignment vertical="top"/>
    </xf>
    <xf numFmtId="0" fontId="0" fillId="0" borderId="55" xfId="0" applyBorder="1">
      <alignment vertical="center"/>
    </xf>
    <xf numFmtId="0" fontId="0" fillId="0" borderId="26" xfId="0" applyFill="1" applyBorder="1" applyAlignment="1">
      <alignment vertical="top"/>
    </xf>
    <xf numFmtId="0" fontId="34" fillId="0" borderId="0" xfId="44" applyFont="1" applyBorder="1" applyAlignment="1">
      <alignment horizontal="right"/>
    </xf>
    <xf numFmtId="0" fontId="0" fillId="0" borderId="64" xfId="0" applyBorder="1" applyAlignment="1">
      <alignment vertical="top"/>
    </xf>
    <xf numFmtId="0" fontId="34" fillId="0" borderId="50" xfId="0" applyFont="1" applyFill="1" applyBorder="1" applyAlignment="1" applyProtection="1">
      <alignment horizontal="left" vertical="center"/>
      <protection locked="0"/>
    </xf>
    <xf numFmtId="0" fontId="32" fillId="28" borderId="0" xfId="0" applyFont="1" applyFill="1" applyBorder="1" applyAlignment="1" applyProtection="1">
      <alignment horizontal="center" vertical="center"/>
      <protection hidden="1"/>
    </xf>
    <xf numFmtId="0" fontId="43" fillId="27" borderId="42" xfId="29" applyFont="1" applyFill="1" applyBorder="1" applyAlignment="1" applyProtection="1">
      <alignment horizontal="left" vertical="center" indent="1"/>
      <protection hidden="1"/>
    </xf>
    <xf numFmtId="0" fontId="29" fillId="27" borderId="0" xfId="0" applyFont="1" applyFill="1" applyBorder="1" applyAlignment="1" applyProtection="1">
      <alignment horizontal="right" vertical="center"/>
      <protection hidden="1"/>
    </xf>
    <xf numFmtId="179" fontId="29" fillId="27" borderId="25" xfId="0" applyNumberFormat="1" applyFont="1" applyFill="1" applyBorder="1" applyAlignment="1" applyProtection="1">
      <alignment horizontal="left" vertical="center"/>
    </xf>
    <xf numFmtId="0" fontId="36" fillId="0" borderId="10" xfId="0" applyFont="1" applyFill="1" applyBorder="1" applyAlignment="1" applyProtection="1">
      <alignment horizontal="center" vertical="center"/>
      <protection locked="0" hidden="1"/>
    </xf>
    <xf numFmtId="179" fontId="0" fillId="0" borderId="10" xfId="0" applyNumberFormat="1" applyBorder="1" applyAlignment="1">
      <alignment vertical="top"/>
    </xf>
    <xf numFmtId="0" fontId="34" fillId="0" borderId="52" xfId="0" applyFont="1" applyBorder="1" applyAlignment="1">
      <alignment vertical="top"/>
    </xf>
    <xf numFmtId="0" fontId="34" fillId="0" borderId="53" xfId="0" applyFont="1" applyBorder="1" applyAlignment="1">
      <alignment vertical="top"/>
    </xf>
    <xf numFmtId="0" fontId="34" fillId="0" borderId="54" xfId="0" applyFont="1" applyBorder="1" applyAlignment="1">
      <alignment vertical="top"/>
    </xf>
    <xf numFmtId="0" fontId="34" fillId="0" borderId="10" xfId="0" applyFont="1" applyBorder="1">
      <alignment vertical="center"/>
    </xf>
    <xf numFmtId="0" fontId="34" fillId="0" borderId="26" xfId="0" applyFont="1" applyBorder="1" applyAlignment="1">
      <alignment vertical="top" wrapText="1"/>
    </xf>
    <xf numFmtId="0" fontId="34" fillId="0" borderId="50" xfId="0" applyFont="1" applyBorder="1" applyAlignment="1">
      <alignment vertical="top" wrapText="1"/>
    </xf>
    <xf numFmtId="0" fontId="34" fillId="0" borderId="27" xfId="0" applyFont="1" applyBorder="1" applyAlignment="1">
      <alignment vertical="top" wrapText="1"/>
    </xf>
    <xf numFmtId="0" fontId="34" fillId="0" borderId="26" xfId="0" applyFont="1" applyBorder="1" applyAlignment="1">
      <alignment vertical="top"/>
    </xf>
    <xf numFmtId="0" fontId="34" fillId="0" borderId="50" xfId="0" applyFont="1" applyBorder="1" applyAlignment="1">
      <alignment vertical="top"/>
    </xf>
    <xf numFmtId="0" fontId="34" fillId="0" borderId="27" xfId="0" applyFont="1" applyBorder="1">
      <alignment vertical="center"/>
    </xf>
    <xf numFmtId="0" fontId="34" fillId="0" borderId="51" xfId="0" applyFont="1" applyBorder="1">
      <alignment vertical="center"/>
    </xf>
    <xf numFmtId="0" fontId="34" fillId="0" borderId="64" xfId="0" applyFont="1" applyBorder="1" applyAlignment="1">
      <alignment vertical="top"/>
    </xf>
    <xf numFmtId="0" fontId="34" fillId="0" borderId="0" xfId="0" applyFont="1" applyBorder="1" applyAlignment="1">
      <alignment vertical="top"/>
    </xf>
    <xf numFmtId="0" fontId="34" fillId="0" borderId="17" xfId="0" applyFont="1" applyBorder="1" applyAlignment="1">
      <alignment vertical="top"/>
    </xf>
    <xf numFmtId="200" fontId="34" fillId="0" borderId="26" xfId="0" applyNumberFormat="1" applyFont="1" applyBorder="1" applyAlignment="1">
      <alignment vertical="top"/>
    </xf>
    <xf numFmtId="200" fontId="34" fillId="0" borderId="50" xfId="0" applyNumberFormat="1" applyFont="1" applyBorder="1" applyAlignment="1">
      <alignment vertical="top"/>
    </xf>
    <xf numFmtId="200" fontId="34" fillId="0" borderId="27" xfId="0" applyNumberFormat="1" applyFont="1" applyBorder="1">
      <alignment vertical="center"/>
    </xf>
    <xf numFmtId="0" fontId="34" fillId="0" borderId="15" xfId="0" applyFont="1" applyBorder="1">
      <alignment vertical="center"/>
    </xf>
    <xf numFmtId="0" fontId="34" fillId="0" borderId="56" xfId="0" applyFont="1" applyBorder="1" applyAlignment="1">
      <alignment vertical="top"/>
    </xf>
    <xf numFmtId="0" fontId="34" fillId="0" borderId="57" xfId="0" applyFont="1" applyBorder="1" applyAlignment="1">
      <alignment vertical="top"/>
    </xf>
    <xf numFmtId="0" fontId="34" fillId="0" borderId="58" xfId="0" applyFont="1" applyBorder="1" applyAlignment="1">
      <alignment vertical="top"/>
    </xf>
    <xf numFmtId="0" fontId="34" fillId="0" borderId="10" xfId="0" applyFont="1" applyBorder="1" applyAlignment="1">
      <alignment vertical="top"/>
    </xf>
    <xf numFmtId="0" fontId="34" fillId="0" borderId="10" xfId="0" applyFont="1" applyBorder="1" applyAlignment="1">
      <alignment vertical="top" wrapText="1"/>
    </xf>
    <xf numFmtId="0" fontId="34" fillId="0" borderId="10" xfId="0" applyFont="1" applyFill="1" applyBorder="1" applyAlignment="1">
      <alignment vertical="top"/>
    </xf>
    <xf numFmtId="0" fontId="34" fillId="0" borderId="51" xfId="0" applyFont="1" applyBorder="1" applyAlignment="1">
      <alignment vertical="top"/>
    </xf>
    <xf numFmtId="0" fontId="34" fillId="0" borderId="27" xfId="0" applyFont="1" applyBorder="1" applyAlignment="1">
      <alignment vertical="top"/>
    </xf>
    <xf numFmtId="38" fontId="34" fillId="0" borderId="10" xfId="35" applyFont="1" applyBorder="1" applyAlignment="1">
      <alignment vertical="top"/>
    </xf>
    <xf numFmtId="9" fontId="34" fillId="0" borderId="10" xfId="0" applyNumberFormat="1" applyFont="1" applyBorder="1" applyAlignment="1">
      <alignment vertical="top"/>
    </xf>
    <xf numFmtId="0" fontId="34" fillId="0" borderId="10" xfId="0" applyFont="1" applyBorder="1" applyAlignment="1">
      <alignment horizontal="center"/>
    </xf>
    <xf numFmtId="200" fontId="34" fillId="0" borderId="10" xfId="0" applyNumberFormat="1" applyFont="1" applyBorder="1">
      <alignment vertical="center"/>
    </xf>
    <xf numFmtId="0" fontId="34" fillId="0" borderId="55" xfId="0" applyFont="1" applyBorder="1" applyAlignment="1">
      <alignment vertical="top"/>
    </xf>
    <xf numFmtId="0" fontId="34" fillId="0" borderId="15" xfId="0" applyFont="1" applyBorder="1" applyAlignment="1">
      <alignment vertical="top"/>
    </xf>
    <xf numFmtId="0" fontId="34" fillId="26" borderId="0" xfId="0" applyFont="1" applyFill="1">
      <alignment vertical="center"/>
    </xf>
    <xf numFmtId="0" fontId="34" fillId="0" borderId="56" xfId="0" applyFont="1" applyFill="1" applyBorder="1" applyAlignment="1">
      <alignment vertical="top"/>
    </xf>
    <xf numFmtId="0" fontId="34" fillId="0" borderId="58" xfId="0" applyFont="1" applyFill="1" applyBorder="1" applyAlignment="1">
      <alignment vertical="top"/>
    </xf>
    <xf numFmtId="0" fontId="34" fillId="0" borderId="55" xfId="0" applyFont="1" applyBorder="1">
      <alignment vertical="center"/>
    </xf>
    <xf numFmtId="0" fontId="34" fillId="0" borderId="26" xfId="0" applyFont="1" applyFill="1" applyBorder="1" applyAlignment="1">
      <alignment vertical="top"/>
    </xf>
    <xf numFmtId="0" fontId="34" fillId="0" borderId="27" xfId="0" applyFont="1" applyFill="1" applyBorder="1" applyAlignment="1">
      <alignment vertical="top"/>
    </xf>
    <xf numFmtId="0" fontId="34" fillId="0" borderId="0" xfId="0" applyFont="1" applyFill="1" applyBorder="1" applyAlignment="1">
      <alignment vertical="top"/>
    </xf>
    <xf numFmtId="0" fontId="34" fillId="0" borderId="26" xfId="0" applyFont="1" applyBorder="1">
      <alignment vertical="center"/>
    </xf>
    <xf numFmtId="0" fontId="34" fillId="0" borderId="50" xfId="0" applyFont="1" applyBorder="1">
      <alignment vertical="center"/>
    </xf>
    <xf numFmtId="38" fontId="34" fillId="0" borderId="10" xfId="35" applyFont="1" applyBorder="1">
      <alignment vertical="center"/>
    </xf>
    <xf numFmtId="38" fontId="34" fillId="0" borderId="0" xfId="0" applyNumberFormat="1" applyFont="1">
      <alignment vertical="center"/>
    </xf>
    <xf numFmtId="0" fontId="34" fillId="27" borderId="63" xfId="44" applyFont="1" applyFill="1" applyBorder="1" applyAlignment="1" applyProtection="1">
      <alignment horizontal="left"/>
    </xf>
    <xf numFmtId="199" fontId="34" fillId="27" borderId="10" xfId="35" applyNumberFormat="1" applyFont="1" applyFill="1" applyBorder="1" applyAlignment="1" applyProtection="1"/>
    <xf numFmtId="40" fontId="34" fillId="27" borderId="10" xfId="35" applyNumberFormat="1" applyFont="1" applyFill="1" applyBorder="1" applyAlignment="1" applyProtection="1">
      <alignment horizontal="right" vertical="center"/>
    </xf>
    <xf numFmtId="0" fontId="7" fillId="0" borderId="0" xfId="0" applyFont="1" applyAlignment="1">
      <alignment vertical="top"/>
    </xf>
    <xf numFmtId="40" fontId="34" fillId="27" borderId="0" xfId="35" applyNumberFormat="1" applyFont="1" applyFill="1" applyBorder="1" applyAlignment="1" applyProtection="1">
      <alignment horizontal="right" vertical="center"/>
    </xf>
    <xf numFmtId="40" fontId="34" fillId="27" borderId="63" xfId="35" applyNumberFormat="1" applyFont="1" applyFill="1" applyBorder="1" applyAlignment="1" applyProtection="1">
      <alignment horizontal="right" vertical="center"/>
    </xf>
    <xf numFmtId="0" fontId="34" fillId="0" borderId="50" xfId="0" applyFont="1" applyBorder="1" applyAlignment="1">
      <alignment horizontal="center" vertical="center"/>
    </xf>
    <xf numFmtId="0" fontId="34" fillId="27" borderId="63" xfId="0" applyFont="1" applyFill="1" applyBorder="1" applyProtection="1">
      <alignment vertical="center"/>
    </xf>
    <xf numFmtId="0" fontId="126" fillId="27" borderId="0" xfId="44" quotePrefix="1" applyFont="1" applyFill="1" applyBorder="1" applyAlignment="1" applyProtection="1">
      <alignment vertical="center"/>
    </xf>
    <xf numFmtId="178" fontId="34" fillId="27" borderId="10" xfId="0" applyNumberFormat="1" applyFont="1" applyFill="1" applyBorder="1" applyProtection="1">
      <alignment vertical="center"/>
    </xf>
    <xf numFmtId="178" fontId="34" fillId="27" borderId="0" xfId="0" applyNumberFormat="1" applyFont="1" applyFill="1" applyBorder="1" applyProtection="1">
      <alignment vertical="center"/>
    </xf>
    <xf numFmtId="0" fontId="34" fillId="27" borderId="65" xfId="0" applyFont="1" applyFill="1" applyBorder="1" applyProtection="1">
      <alignment vertical="center"/>
    </xf>
    <xf numFmtId="0" fontId="34" fillId="27" borderId="66" xfId="0" applyFont="1" applyFill="1" applyBorder="1" applyProtection="1">
      <alignment vertical="center"/>
    </xf>
    <xf numFmtId="0" fontId="34" fillId="27" borderId="67" xfId="0" applyFont="1" applyFill="1" applyBorder="1" applyProtection="1">
      <alignment vertical="center"/>
    </xf>
    <xf numFmtId="0" fontId="34" fillId="27" borderId="59" xfId="0" applyFont="1" applyFill="1" applyBorder="1" applyProtection="1">
      <alignment vertical="center"/>
    </xf>
    <xf numFmtId="0" fontId="126" fillId="27" borderId="60" xfId="44" applyFont="1" applyFill="1" applyBorder="1" applyAlignment="1" applyProtection="1">
      <alignment vertical="center"/>
    </xf>
    <xf numFmtId="0" fontId="34" fillId="27" borderId="60" xfId="0" applyFont="1" applyFill="1" applyBorder="1" applyProtection="1">
      <alignment vertical="center"/>
    </xf>
    <xf numFmtId="0" fontId="34" fillId="27" borderId="60" xfId="44" applyFont="1" applyFill="1" applyBorder="1" applyAlignment="1" applyProtection="1">
      <alignment horizontal="right"/>
    </xf>
    <xf numFmtId="0" fontId="34" fillId="27" borderId="60" xfId="44" applyFont="1" applyFill="1" applyBorder="1" applyAlignment="1" applyProtection="1"/>
    <xf numFmtId="0" fontId="34" fillId="27" borderId="61" xfId="44" applyFont="1" applyFill="1" applyBorder="1" applyAlignment="1" applyProtection="1">
      <alignment horizontal="right"/>
    </xf>
    <xf numFmtId="0" fontId="34" fillId="27" borderId="10" xfId="0" applyFont="1" applyFill="1" applyBorder="1" applyProtection="1">
      <alignment vertical="center"/>
    </xf>
    <xf numFmtId="0" fontId="0" fillId="0" borderId="51" xfId="0" applyBorder="1">
      <alignment vertical="center"/>
    </xf>
    <xf numFmtId="0" fontId="126" fillId="27" borderId="0" xfId="0" applyFont="1" applyFill="1" applyBorder="1" applyAlignment="1" applyProtection="1">
      <alignment horizontal="right" vertical="center"/>
    </xf>
    <xf numFmtId="38" fontId="34" fillId="27" borderId="0" xfId="0" applyNumberFormat="1" applyFont="1" applyFill="1" applyBorder="1" applyProtection="1">
      <alignment vertical="center"/>
    </xf>
    <xf numFmtId="0" fontId="34" fillId="0" borderId="54" xfId="0" applyFont="1" applyBorder="1">
      <alignment vertical="center"/>
    </xf>
    <xf numFmtId="0" fontId="34" fillId="0" borderId="0" xfId="0" applyFont="1" applyAlignment="1">
      <alignment horizontal="right" vertical="center"/>
    </xf>
    <xf numFmtId="177" fontId="34" fillId="27" borderId="10" xfId="28" applyNumberFormat="1" applyFont="1" applyFill="1" applyBorder="1" applyAlignment="1" applyProtection="1">
      <alignment horizontal="center" vertical="center"/>
    </xf>
    <xf numFmtId="183" fontId="37" fillId="27" borderId="200" xfId="0" applyNumberFormat="1" applyFont="1" applyFill="1" applyBorder="1" applyAlignment="1" applyProtection="1">
      <alignment horizontal="center" vertical="center"/>
      <protection hidden="1"/>
    </xf>
    <xf numFmtId="180" fontId="38" fillId="0" borderId="27" xfId="0" applyNumberFormat="1" applyFont="1" applyFill="1" applyBorder="1" applyAlignment="1" applyProtection="1">
      <alignment horizontal="left" wrapText="1"/>
      <protection locked="0"/>
    </xf>
    <xf numFmtId="179" fontId="34" fillId="27" borderId="16" xfId="0" quotePrefix="1" applyNumberFormat="1" applyFont="1" applyFill="1" applyBorder="1" applyAlignment="1">
      <alignment horizontal="center" vertical="center"/>
    </xf>
    <xf numFmtId="179" fontId="34" fillId="27" borderId="16" xfId="0" applyNumberFormat="1" applyFont="1" applyFill="1" applyBorder="1" applyAlignment="1">
      <alignment horizontal="center" vertical="center"/>
    </xf>
    <xf numFmtId="9" fontId="0" fillId="0" borderId="0" xfId="0" applyNumberFormat="1">
      <alignment vertical="center"/>
    </xf>
    <xf numFmtId="38" fontId="0" fillId="0" borderId="0" xfId="35" applyFont="1">
      <alignment vertical="center"/>
    </xf>
    <xf numFmtId="0" fontId="0" fillId="26" borderId="0" xfId="0" applyFill="1">
      <alignment vertical="center"/>
    </xf>
    <xf numFmtId="0" fontId="7" fillId="27" borderId="13" xfId="0" applyFont="1" applyFill="1" applyBorder="1" applyAlignment="1">
      <alignment horizontal="left" vertical="center"/>
    </xf>
    <xf numFmtId="0" fontId="7" fillId="27" borderId="169" xfId="0" applyFont="1" applyFill="1" applyBorder="1" applyAlignment="1">
      <alignment horizontal="left" vertical="center"/>
    </xf>
    <xf numFmtId="183" fontId="37" fillId="27" borderId="146" xfId="0" applyNumberFormat="1" applyFont="1" applyFill="1" applyBorder="1" applyAlignment="1" applyProtection="1">
      <alignment horizontal="center" vertical="center"/>
      <protection hidden="1"/>
    </xf>
    <xf numFmtId="0" fontId="0" fillId="0" borderId="0" xfId="0">
      <alignment vertical="center"/>
    </xf>
    <xf numFmtId="0" fontId="29" fillId="27" borderId="13" xfId="0" applyFont="1" applyFill="1" applyBorder="1" applyAlignment="1" applyProtection="1">
      <alignment horizontal="left" vertical="center"/>
      <protection hidden="1"/>
    </xf>
    <xf numFmtId="0" fontId="28" fillId="49" borderId="0" xfId="0" applyFont="1" applyFill="1" applyBorder="1" applyAlignment="1">
      <alignment horizontal="left" vertical="center"/>
    </xf>
    <xf numFmtId="177" fontId="30" fillId="0" borderId="144" xfId="0" applyNumberFormat="1" applyFont="1" applyFill="1" applyBorder="1" applyAlignment="1" applyProtection="1">
      <alignment horizontal="center" vertical="center"/>
      <protection hidden="1"/>
    </xf>
    <xf numFmtId="0" fontId="34" fillId="0" borderId="0" xfId="0" applyFont="1" applyBorder="1">
      <alignment vertical="center"/>
    </xf>
    <xf numFmtId="0" fontId="126" fillId="0" borderId="0" xfId="0" applyFont="1">
      <alignment vertical="center"/>
    </xf>
    <xf numFmtId="0" fontId="34" fillId="0" borderId="52" xfId="0" applyFont="1" applyBorder="1">
      <alignment vertical="center"/>
    </xf>
    <xf numFmtId="0" fontId="34" fillId="0" borderId="64" xfId="0" applyFont="1" applyBorder="1">
      <alignment vertical="center"/>
    </xf>
    <xf numFmtId="0" fontId="34" fillId="0" borderId="56" xfId="0" applyFont="1" applyBorder="1">
      <alignment vertical="center"/>
    </xf>
    <xf numFmtId="0" fontId="34" fillId="0" borderId="17" xfId="0" applyFont="1" applyBorder="1">
      <alignment vertical="center"/>
    </xf>
    <xf numFmtId="38" fontId="34" fillId="0" borderId="10" xfId="35" applyFont="1" applyBorder="1" applyAlignment="1">
      <alignment horizontal="center"/>
    </xf>
    <xf numFmtId="0" fontId="0" fillId="50" borderId="0" xfId="0" applyFill="1">
      <alignment vertical="center"/>
    </xf>
    <xf numFmtId="0" fontId="0" fillId="50" borderId="57" xfId="0" quotePrefix="1" applyFill="1" applyBorder="1">
      <alignment vertical="center"/>
    </xf>
    <xf numFmtId="0" fontId="34" fillId="50" borderId="10" xfId="0" applyFont="1" applyFill="1" applyBorder="1">
      <alignment vertical="center"/>
    </xf>
    <xf numFmtId="206" fontId="34" fillId="50" borderId="10" xfId="0" applyNumberFormat="1" applyFont="1" applyFill="1" applyBorder="1">
      <alignment vertical="center"/>
    </xf>
    <xf numFmtId="206" fontId="34" fillId="50" borderId="10" xfId="35" applyNumberFormat="1" applyFont="1" applyFill="1" applyBorder="1">
      <alignment vertical="center"/>
    </xf>
    <xf numFmtId="0" fontId="34" fillId="50" borderId="0" xfId="0" applyFont="1" applyFill="1">
      <alignment vertical="center"/>
    </xf>
    <xf numFmtId="38" fontId="34" fillId="50" borderId="10" xfId="35" applyFont="1" applyFill="1" applyBorder="1">
      <alignment vertical="center"/>
    </xf>
    <xf numFmtId="0" fontId="0" fillId="0" borderId="0" xfId="0">
      <alignment vertical="center"/>
    </xf>
    <xf numFmtId="0" fontId="29" fillId="27" borderId="162"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0" borderId="0" xfId="0" applyFont="1" applyFill="1" applyBorder="1" applyAlignment="1" applyProtection="1">
      <alignment horizontal="left" vertical="center"/>
    </xf>
    <xf numFmtId="179" fontId="29" fillId="31" borderId="26" xfId="0" applyNumberFormat="1" applyFont="1" applyFill="1" applyBorder="1" applyAlignment="1" applyProtection="1">
      <alignment vertical="center"/>
      <protection hidden="1"/>
    </xf>
    <xf numFmtId="0" fontId="29" fillId="31" borderId="153" xfId="0" applyFont="1" applyFill="1" applyBorder="1" applyAlignment="1" applyProtection="1">
      <alignment horizontal="left" vertical="center"/>
      <protection hidden="1"/>
    </xf>
    <xf numFmtId="0" fontId="164" fillId="27" borderId="0" xfId="0" applyFont="1" applyFill="1" applyBorder="1" applyAlignment="1">
      <alignment horizontal="left" vertical="center"/>
    </xf>
    <xf numFmtId="0" fontId="29" fillId="27" borderId="52" xfId="0" applyFont="1" applyFill="1" applyBorder="1" applyAlignment="1" applyProtection="1">
      <alignment horizontal="left" vertical="center"/>
      <protection hidden="1"/>
    </xf>
    <xf numFmtId="0" fontId="29" fillId="27" borderId="53" xfId="0" applyFont="1" applyFill="1" applyBorder="1" applyAlignment="1" applyProtection="1">
      <alignment horizontal="left" vertical="center"/>
      <protection hidden="1"/>
    </xf>
    <xf numFmtId="0" fontId="164" fillId="27" borderId="57" xfId="0" applyFont="1" applyFill="1" applyBorder="1" applyAlignment="1">
      <alignment horizontal="left" vertical="center"/>
    </xf>
    <xf numFmtId="0" fontId="29" fillId="31" borderId="89" xfId="0" applyFont="1" applyFill="1" applyBorder="1" applyAlignment="1" applyProtection="1">
      <alignment horizontal="centerContinuous" vertical="center"/>
      <protection hidden="1"/>
    </xf>
    <xf numFmtId="0" fontId="29" fillId="31" borderId="53" xfId="0" applyFont="1" applyFill="1" applyBorder="1" applyAlignment="1" applyProtection="1">
      <alignment horizontal="centerContinuous" vertical="top"/>
      <protection hidden="1"/>
    </xf>
    <xf numFmtId="0" fontId="29" fillId="27" borderId="54" xfId="0" applyFont="1" applyFill="1" applyBorder="1" applyAlignment="1" applyProtection="1">
      <alignment horizontal="left" vertical="center"/>
      <protection hidden="1"/>
    </xf>
    <xf numFmtId="176" fontId="29" fillId="27" borderId="64" xfId="0" applyNumberFormat="1" applyFont="1" applyFill="1" applyBorder="1" applyAlignment="1" applyProtection="1">
      <alignment horizontal="left" vertical="center"/>
      <protection hidden="1"/>
    </xf>
    <xf numFmtId="0" fontId="164" fillId="27" borderId="17" xfId="0" applyFont="1" applyFill="1" applyBorder="1" applyAlignment="1">
      <alignment horizontal="left" vertical="center"/>
    </xf>
    <xf numFmtId="176" fontId="29" fillId="27" borderId="56" xfId="0" applyNumberFormat="1" applyFont="1" applyFill="1" applyBorder="1" applyAlignment="1" applyProtection="1">
      <alignment horizontal="left" vertical="center"/>
      <protection hidden="1"/>
    </xf>
    <xf numFmtId="0" fontId="164" fillId="27" borderId="58" xfId="0" applyFont="1" applyFill="1" applyBorder="1" applyAlignment="1">
      <alignment horizontal="left" vertical="center"/>
    </xf>
    <xf numFmtId="2" fontId="34" fillId="0" borderId="0" xfId="0" applyNumberFormat="1" applyFont="1" applyFill="1" applyBorder="1" applyAlignment="1" applyProtection="1">
      <alignment horizontal="center"/>
      <protection hidden="1"/>
    </xf>
    <xf numFmtId="2" fontId="34" fillId="0" borderId="0" xfId="0" applyNumberFormat="1" applyFont="1" applyFill="1" applyBorder="1" applyAlignment="1" applyProtection="1">
      <alignment horizontal="center" vertical="top" shrinkToFit="1"/>
      <protection hidden="1"/>
    </xf>
    <xf numFmtId="40" fontId="34" fillId="0" borderId="0" xfId="35" applyNumberFormat="1" applyFont="1" applyFill="1" applyBorder="1" applyAlignment="1" applyProtection="1">
      <alignment horizontal="center" vertical="top"/>
      <protection hidden="1"/>
    </xf>
    <xf numFmtId="2" fontId="126" fillId="0" borderId="0" xfId="0" applyNumberFormat="1" applyFont="1" applyFill="1" applyBorder="1" applyAlignment="1" applyProtection="1">
      <alignment horizontal="center" vertical="top"/>
      <protection hidden="1"/>
    </xf>
    <xf numFmtId="2" fontId="126" fillId="0" borderId="0" xfId="35" applyNumberFormat="1" applyFont="1" applyFill="1" applyBorder="1" applyAlignment="1" applyProtection="1">
      <alignment horizontal="center" vertical="center"/>
      <protection hidden="1"/>
    </xf>
    <xf numFmtId="2" fontId="126" fillId="0" borderId="0" xfId="35" applyNumberFormat="1" applyFont="1" applyFill="1" applyBorder="1" applyAlignment="1" applyProtection="1">
      <alignment horizontal="center"/>
      <protection hidden="1"/>
    </xf>
    <xf numFmtId="2" fontId="34" fillId="0" borderId="0" xfId="35" applyNumberFormat="1" applyFont="1" applyFill="1" applyBorder="1" applyAlignment="1" applyProtection="1">
      <alignment horizontal="center" vertical="center"/>
      <protection hidden="1"/>
    </xf>
    <xf numFmtId="178" fontId="34" fillId="0" borderId="0" xfId="35" applyNumberFormat="1" applyFont="1" applyFill="1" applyBorder="1" applyAlignment="1" applyProtection="1">
      <alignment horizontal="center" vertical="center"/>
      <protection hidden="1"/>
    </xf>
    <xf numFmtId="178" fontId="126" fillId="0" borderId="0" xfId="35" applyNumberFormat="1" applyFont="1" applyFill="1" applyBorder="1" applyAlignment="1" applyProtection="1">
      <alignment horizontal="center"/>
      <protection hidden="1"/>
    </xf>
    <xf numFmtId="2" fontId="34" fillId="0" borderId="0" xfId="35" applyNumberFormat="1" applyFont="1" applyFill="1" applyBorder="1" applyAlignment="1" applyProtection="1">
      <alignment horizontal="center"/>
      <protection hidden="1"/>
    </xf>
    <xf numFmtId="2" fontId="126" fillId="0" borderId="0" xfId="0" applyNumberFormat="1" applyFont="1" applyFill="1" applyBorder="1" applyAlignment="1" applyProtection="1">
      <alignment horizontal="center"/>
      <protection hidden="1"/>
    </xf>
    <xf numFmtId="0" fontId="7" fillId="0" borderId="0" xfId="0" applyFont="1" applyAlignment="1">
      <alignment horizontal="left" vertical="center"/>
    </xf>
    <xf numFmtId="0" fontId="49" fillId="0" borderId="0" xfId="0" applyFont="1" applyAlignment="1" applyProtection="1">
      <alignment horizontal="left" vertical="center"/>
    </xf>
    <xf numFmtId="0" fontId="151" fillId="0" borderId="0" xfId="0" applyFont="1" applyFill="1" applyAlignment="1" applyProtection="1">
      <alignment horizontal="left" vertical="center"/>
    </xf>
    <xf numFmtId="0" fontId="151" fillId="0" borderId="0" xfId="0" applyFont="1" applyFill="1" applyAlignment="1" applyProtection="1">
      <alignment horizontal="left" vertical="center"/>
      <protection hidden="1"/>
    </xf>
    <xf numFmtId="0" fontId="49" fillId="0" borderId="0" xfId="0" quotePrefix="1" applyFont="1" applyAlignment="1" applyProtection="1">
      <alignment horizontal="left" vertical="center"/>
      <protection hidden="1"/>
    </xf>
    <xf numFmtId="0" fontId="151" fillId="0" borderId="0" xfId="0" applyFont="1" applyFill="1" applyAlignment="1">
      <alignment horizontal="left" vertical="center"/>
    </xf>
    <xf numFmtId="0" fontId="47" fillId="0" borderId="0" xfId="0" applyFont="1" applyFill="1" applyAlignment="1">
      <alignment horizontal="left" vertical="center"/>
    </xf>
    <xf numFmtId="0" fontId="164" fillId="0" borderId="0" xfId="0" applyFont="1" applyAlignment="1">
      <alignment horizontal="left" vertical="center"/>
    </xf>
    <xf numFmtId="0" fontId="126" fillId="27" borderId="63" xfId="44" applyFont="1" applyFill="1" applyBorder="1" applyAlignment="1" applyProtection="1">
      <alignment horizontal="center" vertical="center"/>
    </xf>
    <xf numFmtId="0" fontId="34" fillId="0" borderId="0" xfId="0" applyFont="1" applyProtection="1">
      <alignment vertical="center"/>
    </xf>
    <xf numFmtId="0" fontId="29" fillId="27" borderId="0" xfId="44" applyFont="1" applyFill="1" applyBorder="1" applyAlignment="1" applyProtection="1">
      <alignment horizontal="right" vertical="center"/>
    </xf>
    <xf numFmtId="178" fontId="34" fillId="27" borderId="10" xfId="44" applyNumberFormat="1" applyFont="1" applyFill="1" applyBorder="1" applyAlignment="1" applyProtection="1">
      <alignment vertical="center"/>
    </xf>
    <xf numFmtId="178" fontId="34" fillId="27" borderId="26" xfId="44" applyNumberFormat="1" applyFont="1" applyFill="1" applyBorder="1" applyAlignment="1" applyProtection="1">
      <alignment vertical="center"/>
    </xf>
    <xf numFmtId="178" fontId="34" fillId="27" borderId="10" xfId="28" applyNumberFormat="1" applyFont="1" applyFill="1" applyBorder="1" applyAlignment="1" applyProtection="1">
      <alignment horizontal="center" vertical="center"/>
    </xf>
    <xf numFmtId="178" fontId="34" fillId="27" borderId="150" xfId="44" applyNumberFormat="1" applyFont="1" applyFill="1" applyBorder="1" applyAlignment="1" applyProtection="1">
      <alignment vertical="center"/>
    </xf>
    <xf numFmtId="0" fontId="29" fillId="27" borderId="0" xfId="44" applyFont="1" applyFill="1" applyBorder="1" applyAlignment="1" applyProtection="1">
      <alignment horizontal="left" vertical="center"/>
    </xf>
    <xf numFmtId="178" fontId="34" fillId="27" borderId="0" xfId="44" applyNumberFormat="1" applyFont="1" applyFill="1" applyBorder="1" applyAlignment="1" applyProtection="1">
      <alignment vertical="center"/>
    </xf>
    <xf numFmtId="177" fontId="34" fillId="27" borderId="0" xfId="44" applyNumberFormat="1" applyFont="1" applyFill="1" applyBorder="1" applyAlignment="1" applyProtection="1">
      <alignment horizontal="center" vertical="center"/>
    </xf>
    <xf numFmtId="178" fontId="34" fillId="27" borderId="0" xfId="28" applyNumberFormat="1" applyFont="1" applyFill="1" applyBorder="1" applyAlignment="1" applyProtection="1">
      <alignment horizontal="center" vertical="center"/>
    </xf>
    <xf numFmtId="178" fontId="34" fillId="27" borderId="63" xfId="44" applyNumberFormat="1" applyFont="1" applyFill="1" applyBorder="1" applyAlignment="1" applyProtection="1">
      <alignment vertical="center"/>
    </xf>
    <xf numFmtId="0" fontId="34" fillId="27" borderId="10" xfId="44" applyFont="1" applyFill="1" applyBorder="1" applyAlignment="1" applyProtection="1">
      <alignment vertical="center"/>
    </xf>
    <xf numFmtId="0" fontId="34" fillId="27" borderId="0" xfId="44" applyFont="1" applyFill="1" applyBorder="1" applyAlignment="1" applyProtection="1">
      <alignment horizontal="center" vertical="center"/>
    </xf>
    <xf numFmtId="180" fontId="34" fillId="27" borderId="0" xfId="44" applyNumberFormat="1" applyFont="1" applyFill="1" applyBorder="1" applyAlignment="1" applyProtection="1">
      <alignment horizontal="center" vertical="center"/>
    </xf>
    <xf numFmtId="0" fontId="34" fillId="27" borderId="63" xfId="44" applyFont="1" applyFill="1" applyBorder="1" applyAlignment="1" applyProtection="1">
      <alignment vertical="center"/>
    </xf>
    <xf numFmtId="0" fontId="126" fillId="27" borderId="62" xfId="0" applyFont="1" applyFill="1" applyBorder="1" applyProtection="1">
      <alignment vertical="center"/>
    </xf>
    <xf numFmtId="9" fontId="34" fillId="27" borderId="10" xfId="0" applyNumberFormat="1" applyFont="1" applyFill="1" applyBorder="1" applyProtection="1">
      <alignment vertical="center"/>
    </xf>
    <xf numFmtId="9" fontId="34" fillId="27" borderId="10" xfId="28" applyFont="1" applyFill="1" applyBorder="1" applyProtection="1">
      <alignment vertical="center"/>
    </xf>
    <xf numFmtId="179" fontId="34" fillId="27" borderId="144" xfId="44" applyNumberFormat="1" applyFont="1" applyFill="1" applyBorder="1" applyAlignment="1" applyProtection="1">
      <alignment horizontal="right" vertical="center"/>
    </xf>
    <xf numFmtId="179" fontId="34" fillId="27" borderId="0" xfId="44" applyNumberFormat="1" applyFont="1" applyFill="1" applyBorder="1" applyAlignment="1" applyProtection="1">
      <alignment horizontal="right" vertical="center"/>
    </xf>
    <xf numFmtId="179" fontId="34" fillId="27" borderId="63" xfId="44" applyNumberFormat="1" applyFont="1" applyFill="1" applyBorder="1" applyAlignment="1" applyProtection="1">
      <alignment horizontal="right" vertical="center"/>
    </xf>
    <xf numFmtId="177" fontId="34" fillId="27" borderId="27" xfId="44" applyNumberFormat="1" applyFont="1" applyFill="1" applyBorder="1" applyAlignment="1" applyProtection="1">
      <alignment horizontal="center" vertical="center"/>
    </xf>
    <xf numFmtId="198" fontId="34" fillId="27" borderId="10" xfId="0" applyNumberFormat="1" applyFont="1" applyFill="1" applyBorder="1" applyProtection="1">
      <alignment vertical="center"/>
    </xf>
    <xf numFmtId="0" fontId="34" fillId="27" borderId="150" xfId="0" applyFont="1" applyFill="1" applyBorder="1" applyProtection="1">
      <alignment vertical="center"/>
    </xf>
    <xf numFmtId="0" fontId="34" fillId="27" borderId="144" xfId="0" applyFont="1" applyFill="1" applyBorder="1" applyAlignment="1" applyProtection="1">
      <alignment horizontal="left" vertical="center"/>
    </xf>
    <xf numFmtId="0" fontId="34" fillId="27" borderId="63" xfId="0" applyFont="1" applyFill="1" applyBorder="1" applyAlignment="1" applyProtection="1">
      <alignment horizontal="left" vertical="center"/>
    </xf>
    <xf numFmtId="0" fontId="34" fillId="27" borderId="62" xfId="44" applyFont="1" applyFill="1" applyBorder="1" applyAlignment="1" applyProtection="1"/>
    <xf numFmtId="0" fontId="34" fillId="27" borderId="0" xfId="44" applyFont="1" applyFill="1" applyBorder="1" applyAlignment="1" applyProtection="1">
      <alignment horizontal="left"/>
    </xf>
    <xf numFmtId="38" fontId="34" fillId="27" borderId="10" xfId="35" applyFont="1" applyFill="1" applyBorder="1" applyAlignment="1" applyProtection="1"/>
    <xf numFmtId="0" fontId="34" fillId="27" borderId="26" xfId="0" applyFont="1" applyFill="1" applyBorder="1" applyProtection="1">
      <alignment vertical="center"/>
    </xf>
    <xf numFmtId="38" fontId="34" fillId="27" borderId="0" xfId="35" applyFont="1" applyFill="1" applyBorder="1" applyAlignment="1" applyProtection="1"/>
    <xf numFmtId="38" fontId="34" fillId="27" borderId="63" xfId="35" applyFont="1" applyFill="1" applyBorder="1" applyAlignment="1" applyProtection="1"/>
    <xf numFmtId="0" fontId="34" fillId="27" borderId="150" xfId="44" applyFont="1" applyFill="1" applyBorder="1" applyAlignment="1" applyProtection="1"/>
    <xf numFmtId="38" fontId="34" fillId="27" borderId="151" xfId="35" applyFont="1" applyFill="1" applyBorder="1" applyAlignment="1" applyProtection="1"/>
    <xf numFmtId="38" fontId="34" fillId="27" borderId="26" xfId="35" applyFont="1" applyFill="1" applyBorder="1" applyAlignment="1" applyProtection="1"/>
    <xf numFmtId="38" fontId="34" fillId="27" borderId="123" xfId="35" applyFont="1" applyFill="1" applyBorder="1" applyAlignment="1" applyProtection="1"/>
    <xf numFmtId="38" fontId="34" fillId="27" borderId="139" xfId="35" applyFont="1" applyFill="1" applyBorder="1" applyAlignment="1" applyProtection="1"/>
    <xf numFmtId="0" fontId="34" fillId="27" borderId="0" xfId="0" applyFont="1" applyFill="1" applyBorder="1" applyAlignment="1" applyProtection="1">
      <alignment horizontal="right"/>
    </xf>
    <xf numFmtId="38" fontId="34" fillId="27" borderId="10" xfId="35" applyFont="1" applyFill="1" applyBorder="1" applyAlignment="1" applyProtection="1">
      <alignment vertical="center"/>
    </xf>
    <xf numFmtId="40" fontId="34" fillId="27" borderId="150" xfId="35" applyNumberFormat="1" applyFont="1" applyFill="1" applyBorder="1" applyAlignment="1" applyProtection="1">
      <alignment vertical="center"/>
    </xf>
    <xf numFmtId="0" fontId="29" fillId="27" borderId="0" xfId="0" applyFont="1" applyFill="1" applyBorder="1" applyAlignment="1" applyProtection="1">
      <alignment horizontal="center" vertical="center"/>
    </xf>
    <xf numFmtId="180" fontId="34" fillId="27" borderId="0" xfId="44" applyNumberFormat="1" applyFont="1" applyFill="1" applyBorder="1" applyAlignment="1" applyProtection="1">
      <alignment horizontal="left" vertical="center"/>
    </xf>
    <xf numFmtId="0" fontId="29" fillId="27" borderId="10" xfId="0" applyFont="1" applyFill="1" applyBorder="1" applyAlignment="1" applyProtection="1">
      <alignment horizontal="center" vertical="center"/>
      <protection locked="0" hidden="1"/>
    </xf>
    <xf numFmtId="0" fontId="0" fillId="0" borderId="0" xfId="0">
      <alignment vertical="center"/>
    </xf>
    <xf numFmtId="180" fontId="64" fillId="37" borderId="60" xfId="0" applyNumberFormat="1" applyFont="1" applyFill="1" applyBorder="1" applyAlignment="1" applyProtection="1">
      <alignment horizontal="left" vertical="center"/>
      <protection hidden="1"/>
    </xf>
    <xf numFmtId="180" fontId="112" fillId="37" borderId="69" xfId="0" applyNumberFormat="1" applyFont="1" applyFill="1" applyBorder="1" applyAlignment="1" applyProtection="1">
      <alignment horizontal="left" vertical="center"/>
      <protection hidden="1"/>
    </xf>
    <xf numFmtId="192" fontId="34" fillId="27" borderId="51" xfId="0" applyNumberFormat="1" applyFont="1" applyFill="1" applyBorder="1" applyAlignment="1" applyProtection="1">
      <alignment horizontal="center" vertical="center"/>
      <protection hidden="1"/>
    </xf>
    <xf numFmtId="183" fontId="16" fillId="27" borderId="100" xfId="0" applyNumberFormat="1" applyFont="1" applyFill="1" applyBorder="1" applyAlignment="1" applyProtection="1">
      <alignment horizontal="center" vertical="top" wrapText="1"/>
      <protection hidden="1"/>
    </xf>
    <xf numFmtId="192" fontId="37" fillId="33" borderId="216" xfId="0" applyNumberFormat="1" applyFont="1" applyFill="1" applyBorder="1" applyAlignment="1" applyProtection="1">
      <alignment horizontal="center" vertical="center"/>
      <protection hidden="1"/>
    </xf>
    <xf numFmtId="183" fontId="65" fillId="33" borderId="134" xfId="0" applyNumberFormat="1" applyFont="1" applyFill="1" applyBorder="1" applyAlignment="1" applyProtection="1">
      <alignment horizontal="center" vertical="center"/>
      <protection hidden="1"/>
    </xf>
    <xf numFmtId="0" fontId="37" fillId="31" borderId="217" xfId="0" applyFont="1" applyFill="1" applyBorder="1" applyAlignment="1" applyProtection="1">
      <alignment horizontal="center" vertical="center"/>
      <protection hidden="1"/>
    </xf>
    <xf numFmtId="183" fontId="127" fillId="27" borderId="220" xfId="0" applyNumberFormat="1" applyFont="1" applyFill="1" applyBorder="1" applyAlignment="1" applyProtection="1">
      <alignment horizontal="center" vertical="center"/>
      <protection hidden="1"/>
    </xf>
    <xf numFmtId="2" fontId="29" fillId="0" borderId="10" xfId="0" applyNumberFormat="1" applyFont="1" applyFill="1" applyBorder="1" applyAlignment="1" applyProtection="1">
      <alignment horizontal="center" vertical="justify"/>
      <protection hidden="1"/>
    </xf>
    <xf numFmtId="178" fontId="29" fillId="0" borderId="221" xfId="0" applyNumberFormat="1" applyFont="1" applyFill="1" applyBorder="1" applyAlignment="1" applyProtection="1">
      <alignment horizontal="center" vertical="justify"/>
      <protection hidden="1"/>
    </xf>
    <xf numFmtId="192" fontId="34" fillId="27" borderId="52" xfId="0" applyNumberFormat="1" applyFont="1" applyFill="1" applyBorder="1" applyAlignment="1" applyProtection="1">
      <alignment horizontal="center" vertical="center"/>
      <protection hidden="1"/>
    </xf>
    <xf numFmtId="192" fontId="37" fillId="33" borderId="223" xfId="0" applyNumberFormat="1" applyFont="1" applyFill="1" applyBorder="1" applyAlignment="1" applyProtection="1">
      <alignment horizontal="center" vertical="center"/>
      <protection hidden="1"/>
    </xf>
    <xf numFmtId="0" fontId="37" fillId="31" borderId="224" xfId="0" applyFont="1" applyFill="1" applyBorder="1" applyAlignment="1" applyProtection="1">
      <alignment horizontal="center" vertical="center"/>
      <protection hidden="1"/>
    </xf>
    <xf numFmtId="0" fontId="29" fillId="27" borderId="72" xfId="0" applyFont="1" applyFill="1" applyBorder="1" applyAlignment="1" applyProtection="1">
      <alignment horizontal="centerContinuous" vertical="center" shrinkToFit="1"/>
      <protection hidden="1"/>
    </xf>
    <xf numFmtId="0" fontId="7" fillId="27" borderId="75" xfId="0" applyFont="1" applyFill="1" applyBorder="1" applyAlignment="1" applyProtection="1">
      <alignment horizontal="centerContinuous" vertical="center"/>
      <protection hidden="1"/>
    </xf>
    <xf numFmtId="183" fontId="27" fillId="27" borderId="226" xfId="0" applyNumberFormat="1" applyFont="1" applyFill="1" applyBorder="1" applyAlignment="1" applyProtection="1">
      <alignment horizontal="center" vertical="center" wrapText="1"/>
      <protection hidden="1"/>
    </xf>
    <xf numFmtId="183" fontId="86" fillId="27" borderId="140" xfId="0" applyNumberFormat="1" applyFont="1" applyFill="1" applyBorder="1" applyAlignment="1" applyProtection="1">
      <alignment horizontal="center" vertical="center" wrapText="1"/>
      <protection hidden="1"/>
    </xf>
    <xf numFmtId="180" fontId="38" fillId="33" borderId="227" xfId="0" applyNumberFormat="1" applyFont="1" applyFill="1" applyBorder="1" applyAlignment="1" applyProtection="1">
      <alignment horizontal="left"/>
      <protection hidden="1"/>
    </xf>
    <xf numFmtId="192" fontId="103" fillId="33" borderId="228" xfId="0" applyNumberFormat="1" applyFont="1" applyFill="1" applyBorder="1" applyAlignment="1" applyProtection="1">
      <alignment horizontal="center" vertical="center"/>
      <protection hidden="1"/>
    </xf>
    <xf numFmtId="180" fontId="38" fillId="31" borderId="229" xfId="0" applyNumberFormat="1" applyFont="1" applyFill="1" applyBorder="1" applyAlignment="1" applyProtection="1">
      <alignment horizontal="left"/>
      <protection hidden="1"/>
    </xf>
    <xf numFmtId="192" fontId="127" fillId="31" borderId="230" xfId="0" applyNumberFormat="1" applyFont="1" applyFill="1" applyBorder="1" applyAlignment="1" applyProtection="1">
      <alignment horizontal="center" vertical="center"/>
      <protection hidden="1"/>
    </xf>
    <xf numFmtId="183" fontId="37" fillId="27" borderId="231" xfId="0" applyNumberFormat="1" applyFont="1" applyFill="1" applyBorder="1" applyAlignment="1" applyProtection="1">
      <alignment horizontal="center" vertical="center"/>
      <protection hidden="1"/>
    </xf>
    <xf numFmtId="192" fontId="130" fillId="27" borderId="219" xfId="0" applyNumberFormat="1" applyFont="1" applyFill="1" applyBorder="1" applyAlignment="1" applyProtection="1">
      <alignment horizontal="center" vertical="center"/>
      <protection hidden="1"/>
    </xf>
    <xf numFmtId="40" fontId="0" fillId="0" borderId="10" xfId="35" applyNumberFormat="1" applyFont="1" applyBorder="1">
      <alignment vertical="center"/>
    </xf>
    <xf numFmtId="2" fontId="0" fillId="0" borderId="10" xfId="0" applyNumberFormat="1" applyBorder="1">
      <alignment vertical="center"/>
    </xf>
    <xf numFmtId="183" fontId="37" fillId="27" borderId="159" xfId="0" applyNumberFormat="1" applyFont="1" applyFill="1" applyBorder="1" applyAlignment="1" applyProtection="1">
      <alignment horizontal="center" vertical="center"/>
      <protection hidden="1"/>
    </xf>
    <xf numFmtId="0" fontId="37" fillId="51" borderId="218" xfId="0" applyFont="1" applyFill="1" applyBorder="1" applyAlignment="1" applyProtection="1">
      <alignment horizontal="center" vertical="center"/>
      <protection locked="0"/>
    </xf>
    <xf numFmtId="0" fontId="37" fillId="51" borderId="225" xfId="0" applyFont="1" applyFill="1" applyBorder="1" applyAlignment="1" applyProtection="1">
      <alignment horizontal="center" vertical="center"/>
      <protection locked="0"/>
    </xf>
    <xf numFmtId="0" fontId="37" fillId="51" borderId="10" xfId="0" applyFont="1" applyFill="1" applyBorder="1" applyAlignment="1" applyProtection="1">
      <alignment horizontal="center" vertical="center"/>
      <protection locked="0"/>
    </xf>
    <xf numFmtId="0" fontId="0" fillId="0" borderId="0" xfId="0">
      <alignment vertical="center"/>
    </xf>
    <xf numFmtId="0" fontId="0" fillId="0" borderId="60" xfId="0" applyBorder="1">
      <alignment vertical="center"/>
    </xf>
    <xf numFmtId="0" fontId="37" fillId="31" borderId="216" xfId="0" applyFont="1" applyFill="1" applyBorder="1" applyAlignment="1" applyProtection="1">
      <alignment horizontal="center" vertical="center"/>
      <protection hidden="1"/>
    </xf>
    <xf numFmtId="0" fontId="37" fillId="31" borderId="223" xfId="0" applyFont="1" applyFill="1" applyBorder="1" applyAlignment="1" applyProtection="1">
      <alignment horizontal="center" vertical="center"/>
      <protection hidden="1"/>
    </xf>
    <xf numFmtId="180" fontId="38" fillId="31" borderId="227" xfId="0" applyNumberFormat="1" applyFont="1" applyFill="1" applyBorder="1" applyAlignment="1" applyProtection="1">
      <alignment horizontal="left"/>
      <protection hidden="1"/>
    </xf>
    <xf numFmtId="192" fontId="127" fillId="31" borderId="228" xfId="0" applyNumberFormat="1" applyFont="1" applyFill="1" applyBorder="1" applyAlignment="1" applyProtection="1">
      <alignment horizontal="center" vertical="center"/>
      <protection hidden="1"/>
    </xf>
    <xf numFmtId="0" fontId="24" fillId="27" borderId="62" xfId="0" applyNumberFormat="1" applyFont="1" applyFill="1" applyBorder="1" applyAlignment="1" applyProtection="1">
      <alignment vertical="top"/>
      <protection hidden="1"/>
    </xf>
    <xf numFmtId="0" fontId="86" fillId="27" borderId="0" xfId="0" applyFont="1" applyFill="1" applyBorder="1" applyAlignment="1" applyProtection="1">
      <alignment horizontal="left" vertical="top"/>
      <protection hidden="1"/>
    </xf>
    <xf numFmtId="0" fontId="119" fillId="27" borderId="0" xfId="0" applyFont="1" applyFill="1" applyBorder="1" applyAlignment="1" applyProtection="1">
      <alignment vertical="top"/>
      <protection hidden="1"/>
    </xf>
    <xf numFmtId="0" fontId="120" fillId="27" borderId="0" xfId="0" applyFont="1" applyFill="1" applyBorder="1" applyAlignment="1" applyProtection="1">
      <alignment vertical="top"/>
      <protection hidden="1"/>
    </xf>
    <xf numFmtId="0" fontId="120" fillId="27" borderId="63" xfId="0" applyFont="1" applyFill="1" applyBorder="1" applyAlignment="1" applyProtection="1">
      <alignment vertical="top"/>
      <protection hidden="1"/>
    </xf>
    <xf numFmtId="0" fontId="64" fillId="33" borderId="128" xfId="0" applyNumberFormat="1" applyFont="1" applyFill="1" applyBorder="1" applyAlignment="1" applyProtection="1">
      <alignment vertical="center"/>
      <protection hidden="1"/>
    </xf>
    <xf numFmtId="0" fontId="125" fillId="33" borderId="129" xfId="0" applyNumberFormat="1" applyFont="1" applyFill="1" applyBorder="1" applyAlignment="1" applyProtection="1">
      <alignment horizontal="left" vertical="center"/>
      <protection hidden="1"/>
    </xf>
    <xf numFmtId="182" fontId="124" fillId="33" borderId="129" xfId="0" applyNumberFormat="1" applyFont="1" applyFill="1" applyBorder="1" applyAlignment="1" applyProtection="1">
      <alignment horizontal="center" vertical="center"/>
      <protection hidden="1"/>
    </xf>
    <xf numFmtId="182" fontId="64" fillId="33" borderId="129" xfId="0" applyNumberFormat="1" applyFont="1" applyFill="1" applyBorder="1" applyAlignment="1" applyProtection="1">
      <alignment horizontal="center" vertical="center"/>
      <protection hidden="1"/>
    </xf>
    <xf numFmtId="182" fontId="64" fillId="33" borderId="130" xfId="0" applyNumberFormat="1" applyFont="1" applyFill="1" applyBorder="1" applyAlignment="1" applyProtection="1">
      <alignment horizontal="center" vertical="center"/>
      <protection hidden="1"/>
    </xf>
    <xf numFmtId="0" fontId="37" fillId="31" borderId="227" xfId="0" applyFont="1" applyFill="1" applyBorder="1" applyAlignment="1" applyProtection="1">
      <alignment horizontal="center" vertical="center"/>
      <protection hidden="1"/>
    </xf>
    <xf numFmtId="0" fontId="126" fillId="27" borderId="53" xfId="0" applyFont="1" applyFill="1" applyBorder="1" applyAlignment="1" applyProtection="1">
      <alignment horizontal="left" vertical="center"/>
      <protection hidden="1"/>
    </xf>
    <xf numFmtId="183" fontId="0" fillId="0" borderId="0" xfId="0" applyNumberFormat="1">
      <alignment vertical="center"/>
    </xf>
    <xf numFmtId="2" fontId="0" fillId="50" borderId="10" xfId="0" applyNumberFormat="1" applyFill="1" applyBorder="1">
      <alignment vertical="center"/>
    </xf>
    <xf numFmtId="180" fontId="29" fillId="27" borderId="176" xfId="0" applyNumberFormat="1" applyFont="1" applyFill="1" applyBorder="1" applyAlignment="1" applyProtection="1">
      <alignment horizontal="center" vertical="center"/>
      <protection hidden="1"/>
    </xf>
    <xf numFmtId="180" fontId="29" fillId="27" borderId="222" xfId="0" applyNumberFormat="1" applyFont="1" applyFill="1" applyBorder="1" applyAlignment="1" applyProtection="1">
      <alignment horizontal="center" vertical="center"/>
      <protection hidden="1"/>
    </xf>
    <xf numFmtId="180" fontId="29" fillId="27" borderId="176" xfId="0" applyNumberFormat="1" applyFont="1" applyFill="1" applyBorder="1" applyAlignment="1" applyProtection="1">
      <alignment horizontal="center" vertical="center" wrapText="1"/>
      <protection hidden="1"/>
    </xf>
    <xf numFmtId="0" fontId="0" fillId="0" borderId="0" xfId="0" applyAlignment="1">
      <alignment vertical="center"/>
    </xf>
    <xf numFmtId="0" fontId="0" fillId="0" borderId="0" xfId="0">
      <alignment vertical="center"/>
    </xf>
    <xf numFmtId="0" fontId="24" fillId="0" borderId="0" xfId="0" applyFont="1">
      <alignment vertical="center"/>
    </xf>
    <xf numFmtId="0" fontId="0" fillId="0" borderId="0" xfId="0">
      <alignment vertical="center"/>
    </xf>
    <xf numFmtId="0" fontId="29" fillId="27" borderId="167" xfId="0" applyFont="1" applyFill="1" applyBorder="1" applyAlignment="1" applyProtection="1">
      <alignment horizontal="left" vertical="center"/>
      <protection hidden="1"/>
    </xf>
    <xf numFmtId="0" fontId="46" fillId="27" borderId="50" xfId="0" applyFont="1" applyFill="1" applyBorder="1" applyAlignment="1" applyProtection="1">
      <alignment horizontal="center"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vertical="center"/>
      <protection hidden="1"/>
    </xf>
    <xf numFmtId="0" fontId="7" fillId="27" borderId="175" xfId="0" applyFont="1" applyFill="1" applyBorder="1" applyAlignment="1" applyProtection="1">
      <alignment horizontal="center" vertical="center"/>
      <protection hidden="1"/>
    </xf>
    <xf numFmtId="0" fontId="0" fillId="38" borderId="0" xfId="0" applyFill="1">
      <alignment vertical="center"/>
    </xf>
    <xf numFmtId="0" fontId="7" fillId="27" borderId="10" xfId="0" applyFont="1" applyFill="1" applyBorder="1" applyAlignment="1" applyProtection="1">
      <alignment horizontal="center" vertical="center"/>
      <protection hidden="1"/>
    </xf>
    <xf numFmtId="0" fontId="7" fillId="27" borderId="15" xfId="0" applyFont="1" applyFill="1" applyBorder="1" applyAlignment="1" applyProtection="1">
      <alignment horizontal="center" vertical="center"/>
      <protection hidden="1"/>
    </xf>
    <xf numFmtId="0" fontId="29" fillId="27" borderId="52" xfId="0" applyFont="1" applyFill="1" applyBorder="1" applyProtection="1">
      <alignment vertical="center"/>
      <protection hidden="1"/>
    </xf>
    <xf numFmtId="0" fontId="29" fillId="27" borderId="54" xfId="0" applyFont="1" applyFill="1" applyBorder="1" applyProtection="1">
      <alignment vertical="center"/>
      <protection hidden="1"/>
    </xf>
    <xf numFmtId="0" fontId="29" fillId="27" borderId="56" xfId="0" applyFont="1" applyFill="1" applyBorder="1" applyProtection="1">
      <alignment vertical="center"/>
      <protection hidden="1"/>
    </xf>
    <xf numFmtId="0" fontId="29" fillId="27" borderId="58" xfId="0" applyFont="1" applyFill="1" applyBorder="1" applyProtection="1">
      <alignment vertical="center"/>
      <protection hidden="1"/>
    </xf>
    <xf numFmtId="0" fontId="29" fillId="27" borderId="10" xfId="0" applyFont="1" applyFill="1" applyBorder="1" applyProtection="1">
      <alignment vertical="center"/>
      <protection hidden="1"/>
    </xf>
    <xf numFmtId="0" fontId="29" fillId="27" borderId="50" xfId="0" applyFont="1" applyFill="1" applyBorder="1" applyAlignment="1" applyProtection="1">
      <alignment vertical="center" wrapText="1"/>
      <protection hidden="1"/>
    </xf>
    <xf numFmtId="179" fontId="29" fillId="31" borderId="50" xfId="0" applyNumberFormat="1" applyFont="1" applyFill="1" applyBorder="1" applyAlignment="1" applyProtection="1">
      <alignment horizontal="center" vertical="center"/>
      <protection hidden="1"/>
    </xf>
    <xf numFmtId="0" fontId="29" fillId="31" borderId="52" xfId="0" applyFont="1" applyFill="1" applyBorder="1" applyAlignment="1" applyProtection="1">
      <alignment horizontal="center" vertical="center"/>
      <protection hidden="1"/>
    </xf>
    <xf numFmtId="0" fontId="29" fillId="31" borderId="54" xfId="0" applyFont="1" applyFill="1" applyBorder="1" applyAlignment="1" applyProtection="1">
      <alignment horizontal="center" vertical="center"/>
      <protection hidden="1"/>
    </xf>
    <xf numFmtId="0" fontId="29" fillId="51" borderId="26" xfId="0" applyFont="1" applyFill="1" applyBorder="1">
      <alignment vertical="center"/>
    </xf>
    <xf numFmtId="0" fontId="29" fillId="51" borderId="50" xfId="0" applyFont="1" applyFill="1" applyBorder="1">
      <alignment vertical="center"/>
    </xf>
    <xf numFmtId="0" fontId="29" fillId="51" borderId="10" xfId="0" applyFont="1" applyFill="1" applyBorder="1" applyAlignment="1">
      <alignment horizontal="center" vertical="center"/>
    </xf>
    <xf numFmtId="0" fontId="29" fillId="0" borderId="0" xfId="0" applyFont="1" applyBorder="1">
      <alignment vertical="center"/>
    </xf>
    <xf numFmtId="0" fontId="29" fillId="0" borderId="0" xfId="0" applyFont="1" applyBorder="1" applyAlignment="1">
      <alignment horizontal="center" vertical="center"/>
    </xf>
    <xf numFmtId="0" fontId="7" fillId="0" borderId="144" xfId="0" applyFont="1" applyBorder="1">
      <alignment vertical="center"/>
    </xf>
    <xf numFmtId="0" fontId="29" fillId="53" borderId="10" xfId="0" applyFont="1" applyFill="1" applyBorder="1">
      <alignment vertical="center"/>
    </xf>
    <xf numFmtId="0" fontId="29" fillId="53" borderId="10" xfId="0" applyFont="1" applyFill="1" applyBorder="1" applyAlignment="1">
      <alignment horizontal="center" vertical="center"/>
    </xf>
    <xf numFmtId="0" fontId="29" fillId="51" borderId="10" xfId="0" applyFont="1" applyFill="1" applyBorder="1">
      <alignment vertical="center"/>
    </xf>
    <xf numFmtId="0" fontId="7" fillId="0" borderId="0" xfId="0" applyFont="1">
      <alignment vertical="center"/>
    </xf>
    <xf numFmtId="182" fontId="29" fillId="51" borderId="10" xfId="0" applyNumberFormat="1" applyFont="1" applyFill="1" applyBorder="1" applyAlignment="1">
      <alignment horizontal="center" vertical="center"/>
    </xf>
    <xf numFmtId="0" fontId="34" fillId="0" borderId="50" xfId="0" applyFont="1" applyFill="1" applyBorder="1" applyAlignment="1">
      <alignment vertical="top"/>
    </xf>
    <xf numFmtId="0" fontId="0" fillId="0" borderId="0" xfId="0">
      <alignment vertical="center"/>
    </xf>
    <xf numFmtId="0" fontId="29" fillId="27" borderId="163"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5" xfId="0" applyNumberFormat="1" applyFont="1" applyFill="1" applyBorder="1" applyAlignment="1" applyProtection="1">
      <alignment horizontal="left" vertical="center" wrapText="1"/>
      <protection hidden="1"/>
    </xf>
    <xf numFmtId="0" fontId="29" fillId="27" borderId="55" xfId="0" applyNumberFormat="1" applyFont="1" applyFill="1" applyBorder="1" applyAlignment="1" applyProtection="1">
      <alignment horizontal="left" vertical="center" wrapText="1"/>
      <protection hidden="1"/>
    </xf>
    <xf numFmtId="0" fontId="29" fillId="27" borderId="0" xfId="0" applyFont="1" applyFill="1" applyBorder="1" applyProtection="1">
      <alignment vertical="center"/>
    </xf>
    <xf numFmtId="0" fontId="38" fillId="27" borderId="0" xfId="0" applyFont="1" applyFill="1" applyBorder="1" applyAlignment="1" applyProtection="1">
      <alignment horizontal="left" vertical="center"/>
      <protection hidden="1"/>
    </xf>
    <xf numFmtId="40" fontId="0" fillId="0" borderId="10" xfId="0" applyNumberFormat="1" applyBorder="1">
      <alignment vertical="center"/>
    </xf>
    <xf numFmtId="207" fontId="0" fillId="0" borderId="10" xfId="0" applyNumberFormat="1" applyBorder="1">
      <alignment vertical="center"/>
    </xf>
    <xf numFmtId="0" fontId="34" fillId="27" borderId="15" xfId="0" applyFont="1" applyFill="1" applyBorder="1" applyAlignment="1">
      <alignment horizontal="center" vertical="center" wrapText="1"/>
    </xf>
    <xf numFmtId="198" fontId="34" fillId="41" borderId="16" xfId="0" applyNumberFormat="1" applyFont="1" applyFill="1" applyBorder="1" applyAlignment="1" applyProtection="1">
      <alignment horizontal="center" vertical="center"/>
      <protection locked="0"/>
    </xf>
    <xf numFmtId="198" fontId="34" fillId="41" borderId="11" xfId="0" applyNumberFormat="1" applyFont="1" applyFill="1" applyBorder="1" applyAlignment="1" applyProtection="1">
      <alignment horizontal="center" vertical="center"/>
      <protection locked="0"/>
    </xf>
    <xf numFmtId="198" fontId="34" fillId="41" borderId="166" xfId="0" applyNumberFormat="1" applyFont="1" applyFill="1" applyBorder="1" applyAlignment="1" applyProtection="1">
      <alignment horizontal="center" vertical="center"/>
      <protection locked="0"/>
    </xf>
    <xf numFmtId="9" fontId="34" fillId="41" borderId="16" xfId="0" applyNumberFormat="1" applyFont="1" applyFill="1" applyBorder="1" applyAlignment="1" applyProtection="1">
      <alignment horizontal="center" vertical="center"/>
      <protection locked="0"/>
    </xf>
    <xf numFmtId="0" fontId="34" fillId="41" borderId="16" xfId="0" applyFont="1" applyFill="1" applyBorder="1" applyAlignment="1" applyProtection="1">
      <alignment vertical="center"/>
      <protection locked="0"/>
    </xf>
    <xf numFmtId="9" fontId="34" fillId="41" borderId="11" xfId="0" applyNumberFormat="1" applyFont="1" applyFill="1" applyBorder="1" applyAlignment="1" applyProtection="1">
      <alignment horizontal="center" vertical="center"/>
      <protection locked="0"/>
    </xf>
    <xf numFmtId="9" fontId="34" fillId="41" borderId="166" xfId="0" applyNumberFormat="1" applyFont="1" applyFill="1" applyBorder="1" applyAlignment="1" applyProtection="1">
      <alignment horizontal="center" vertical="center"/>
      <protection locked="0"/>
    </xf>
    <xf numFmtId="0" fontId="29" fillId="27" borderId="167" xfId="0" applyFont="1" applyFill="1" applyBorder="1" applyAlignment="1" applyProtection="1">
      <alignment vertical="center" wrapText="1"/>
      <protection hidden="1"/>
    </xf>
    <xf numFmtId="0" fontId="7" fillId="38" borderId="168" xfId="0" applyFont="1" applyFill="1" applyBorder="1" applyAlignment="1">
      <alignment vertical="center" wrapText="1"/>
    </xf>
    <xf numFmtId="0" fontId="29" fillId="27" borderId="12" xfId="0" applyFont="1" applyFill="1" applyBorder="1" applyAlignment="1" applyProtection="1">
      <alignment vertical="center" wrapText="1"/>
      <protection hidden="1"/>
    </xf>
    <xf numFmtId="0" fontId="29" fillId="31" borderId="50" xfId="0" applyFont="1" applyFill="1" applyBorder="1" applyAlignment="1" applyProtection="1">
      <alignment horizontal="center" vertical="center"/>
      <protection hidden="1"/>
    </xf>
    <xf numFmtId="0" fontId="29" fillId="31" borderId="55" xfId="0" applyFont="1" applyFill="1" applyBorder="1" applyAlignment="1" applyProtection="1">
      <alignment horizontal="center" vertical="center" wrapText="1"/>
      <protection hidden="1"/>
    </xf>
    <xf numFmtId="0" fontId="29" fillId="31" borderId="26" xfId="0" applyFont="1" applyFill="1" applyBorder="1" applyAlignment="1" applyProtection="1">
      <alignment horizontal="centerContinuous" vertical="center" wrapText="1"/>
      <protection hidden="1"/>
    </xf>
    <xf numFmtId="0" fontId="29" fillId="31" borderId="50" xfId="0" applyFont="1" applyFill="1" applyBorder="1" applyAlignment="1" applyProtection="1">
      <alignment horizontal="centerContinuous" vertical="center" wrapText="1"/>
      <protection hidden="1"/>
    </xf>
    <xf numFmtId="0" fontId="29" fillId="31" borderId="54" xfId="0" applyFont="1" applyFill="1" applyBorder="1" applyAlignment="1" applyProtection="1">
      <alignment horizontal="center" vertical="center"/>
      <protection hidden="1"/>
    </xf>
    <xf numFmtId="0" fontId="29" fillId="31" borderId="17" xfId="0" applyFont="1" applyFill="1" applyBorder="1" applyAlignment="1" applyProtection="1">
      <alignment horizontal="left" vertical="center"/>
      <protection hidden="1"/>
    </xf>
    <xf numFmtId="0" fontId="38" fillId="27" borderId="51" xfId="0" applyFont="1" applyFill="1" applyBorder="1" applyAlignment="1" applyProtection="1">
      <alignment vertical="center" wrapText="1"/>
      <protection hidden="1"/>
    </xf>
    <xf numFmtId="0" fontId="29" fillId="27" borderId="15" xfId="0" applyFont="1" applyFill="1" applyBorder="1" applyAlignment="1" applyProtection="1">
      <alignment vertical="center" wrapText="1"/>
      <protection hidden="1"/>
    </xf>
    <xf numFmtId="0" fontId="29" fillId="27" borderId="55" xfId="0" applyFont="1" applyFill="1" applyBorder="1" applyAlignment="1" applyProtection="1">
      <alignment vertical="center" wrapText="1"/>
      <protection hidden="1"/>
    </xf>
    <xf numFmtId="0" fontId="29" fillId="31" borderId="10" xfId="0" applyFont="1" applyFill="1" applyBorder="1" applyAlignment="1" applyProtection="1">
      <alignment horizontal="center" vertical="center"/>
      <protection hidden="1"/>
    </xf>
    <xf numFmtId="179" fontId="29" fillId="31" borderId="50" xfId="0" applyNumberFormat="1" applyFont="1" applyFill="1" applyBorder="1" applyAlignment="1" applyProtection="1">
      <alignment horizontal="center" vertical="center" wrapText="1"/>
      <protection hidden="1"/>
    </xf>
    <xf numFmtId="0" fontId="29" fillId="31" borderId="17" xfId="0" applyFont="1" applyFill="1" applyBorder="1" applyAlignment="1" applyProtection="1">
      <alignment horizontal="center" vertical="center"/>
      <protection hidden="1"/>
    </xf>
    <xf numFmtId="179" fontId="29" fillId="31" borderId="54" xfId="0" applyNumberFormat="1" applyFont="1" applyFill="1" applyBorder="1" applyAlignment="1" applyProtection="1">
      <alignment horizontal="center" vertical="center" wrapText="1"/>
      <protection hidden="1"/>
    </xf>
    <xf numFmtId="0" fontId="29" fillId="27" borderId="12" xfId="0" applyFont="1" applyFill="1" applyBorder="1" applyAlignment="1" applyProtection="1">
      <alignment vertical="center" shrinkToFit="1"/>
      <protection hidden="1"/>
    </xf>
    <xf numFmtId="2" fontId="126" fillId="54" borderId="26" xfId="35" applyNumberFormat="1" applyFont="1" applyFill="1" applyBorder="1" applyAlignment="1" applyProtection="1">
      <alignment horizontal="center" vertical="center"/>
      <protection hidden="1"/>
    </xf>
    <xf numFmtId="2" fontId="34" fillId="54" borderId="10" xfId="35" applyNumberFormat="1" applyFont="1" applyFill="1" applyBorder="1" applyAlignment="1" applyProtection="1">
      <alignment horizontal="center" vertical="center"/>
      <protection hidden="1"/>
    </xf>
    <xf numFmtId="2" fontId="34" fillId="55" borderId="10" xfId="35" applyNumberFormat="1" applyFont="1" applyFill="1" applyBorder="1" applyAlignment="1" applyProtection="1">
      <alignment horizontal="center" vertical="center"/>
      <protection hidden="1"/>
    </xf>
    <xf numFmtId="2" fontId="34" fillId="54" borderId="26" xfId="35" applyNumberFormat="1" applyFont="1" applyFill="1" applyBorder="1" applyAlignment="1" applyProtection="1">
      <alignment horizontal="center" vertical="center"/>
      <protection hidden="1"/>
    </xf>
    <xf numFmtId="178" fontId="126" fillId="54" borderId="26" xfId="0" applyNumberFormat="1" applyFont="1" applyFill="1" applyBorder="1" applyAlignment="1" applyProtection="1">
      <alignment horizontal="center" vertical="center"/>
      <protection hidden="1"/>
    </xf>
    <xf numFmtId="178" fontId="34" fillId="54" borderId="26" xfId="0" applyNumberFormat="1" applyFont="1" applyFill="1" applyBorder="1" applyAlignment="1" applyProtection="1">
      <alignment horizontal="center" vertical="center"/>
      <protection hidden="1"/>
    </xf>
    <xf numFmtId="178" fontId="34" fillId="56" borderId="26" xfId="35" applyNumberFormat="1" applyFont="1" applyFill="1" applyBorder="1" applyAlignment="1" applyProtection="1">
      <alignment horizontal="center" vertical="center"/>
      <protection hidden="1"/>
    </xf>
    <xf numFmtId="178" fontId="34" fillId="55" borderId="26" xfId="0" applyNumberFormat="1" applyFont="1" applyFill="1" applyBorder="1" applyAlignment="1" applyProtection="1">
      <alignment horizontal="center" vertical="center"/>
      <protection hidden="1"/>
    </xf>
    <xf numFmtId="178" fontId="168" fillId="54" borderId="26" xfId="0" applyNumberFormat="1" applyFont="1" applyFill="1" applyBorder="1" applyAlignment="1" applyProtection="1">
      <alignment horizontal="center" vertical="center"/>
      <protection hidden="1"/>
    </xf>
    <xf numFmtId="178" fontId="34" fillId="57" borderId="26" xfId="35" applyNumberFormat="1" applyFont="1" applyFill="1" applyBorder="1" applyAlignment="1" applyProtection="1">
      <alignment horizontal="center" vertical="center"/>
      <protection hidden="1"/>
    </xf>
    <xf numFmtId="178" fontId="34" fillId="54" borderId="26" xfId="35" applyNumberFormat="1" applyFont="1" applyFill="1" applyBorder="1" applyAlignment="1" applyProtection="1">
      <alignment horizontal="center" vertical="center"/>
      <protection hidden="1"/>
    </xf>
    <xf numFmtId="178" fontId="34" fillId="54" borderId="10" xfId="35" applyNumberFormat="1" applyFont="1" applyFill="1" applyBorder="1" applyAlignment="1" applyProtection="1">
      <alignment horizontal="center" vertical="center"/>
      <protection hidden="1"/>
    </xf>
    <xf numFmtId="0" fontId="0" fillId="0" borderId="0" xfId="0" applyAlignment="1"/>
    <xf numFmtId="0" fontId="0" fillId="27" borderId="52" xfId="0" applyFont="1" applyFill="1" applyBorder="1" applyProtection="1">
      <alignment vertical="center"/>
    </xf>
    <xf numFmtId="202" fontId="7" fillId="27" borderId="0" xfId="45" applyNumberFormat="1" applyFont="1" applyFill="1" applyBorder="1" applyAlignment="1" applyProtection="1">
      <alignment vertical="center"/>
      <protection hidden="1"/>
    </xf>
    <xf numFmtId="0" fontId="29" fillId="27" borderId="12" xfId="0" applyFont="1" applyFill="1" applyBorder="1" applyAlignment="1" applyProtection="1">
      <alignment horizontal="lef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0" xfId="0" applyFont="1" applyFill="1" applyBorder="1" applyAlignment="1" applyProtection="1">
      <alignment vertical="center"/>
    </xf>
    <xf numFmtId="0" fontId="29" fillId="27" borderId="0" xfId="0" applyFont="1" applyFill="1" applyBorder="1" applyAlignment="1" applyProtection="1">
      <alignment vertical="top" wrapText="1"/>
    </xf>
    <xf numFmtId="38" fontId="34" fillId="41" borderId="144" xfId="35" applyFont="1" applyFill="1" applyBorder="1" applyAlignment="1" applyProtection="1">
      <alignment horizontal="center" vertical="center" shrinkToFit="1"/>
      <protection locked="0"/>
    </xf>
    <xf numFmtId="0" fontId="34" fillId="31" borderId="27" xfId="44" applyFont="1" applyFill="1" applyBorder="1" applyAlignment="1" applyProtection="1">
      <alignment horizontal="center" vertical="center"/>
    </xf>
    <xf numFmtId="0" fontId="29" fillId="27" borderId="10" xfId="0" applyFont="1" applyFill="1" applyBorder="1" applyAlignment="1" applyProtection="1">
      <alignment horizontal="center" vertical="center"/>
    </xf>
    <xf numFmtId="2" fontId="34" fillId="27" borderId="10" xfId="0" applyNumberFormat="1" applyFont="1" applyFill="1" applyBorder="1" applyProtection="1">
      <alignment vertical="center"/>
    </xf>
    <xf numFmtId="2" fontId="34" fillId="27" borderId="27" xfId="0" applyNumberFormat="1" applyFont="1" applyFill="1" applyBorder="1" applyProtection="1">
      <alignment vertical="center"/>
    </xf>
    <xf numFmtId="207" fontId="34" fillId="27" borderId="10" xfId="0" applyNumberFormat="1" applyFont="1" applyFill="1" applyBorder="1" applyProtection="1">
      <alignment vertical="center"/>
    </xf>
    <xf numFmtId="205" fontId="0" fillId="50" borderId="0" xfId="0" applyNumberFormat="1" applyFill="1">
      <alignment vertical="center"/>
    </xf>
    <xf numFmtId="0" fontId="29" fillId="27" borderId="0" xfId="0" applyFont="1" applyFill="1" applyBorder="1" applyAlignment="1" applyProtection="1">
      <alignment vertical="center" wrapText="1"/>
    </xf>
    <xf numFmtId="0" fontId="29" fillId="27" borderId="0" xfId="0" applyFont="1" applyFill="1" applyBorder="1" applyAlignment="1" applyProtection="1">
      <alignment horizontal="right" vertical="top"/>
    </xf>
    <xf numFmtId="0" fontId="34" fillId="27" borderId="0" xfId="0" applyFont="1" applyFill="1" applyBorder="1" applyAlignment="1" applyProtection="1">
      <alignment horizontal="right" vertical="top"/>
    </xf>
    <xf numFmtId="0" fontId="27" fillId="27" borderId="0" xfId="0" applyFont="1" applyFill="1" applyBorder="1" applyAlignment="1" applyProtection="1">
      <alignment horizontal="right" vertical="center"/>
    </xf>
    <xf numFmtId="0" fontId="29" fillId="31" borderId="53" xfId="0" applyFont="1" applyFill="1" applyBorder="1" applyAlignment="1" applyProtection="1">
      <alignment vertical="center"/>
    </xf>
    <xf numFmtId="0" fontId="38" fillId="31" borderId="53" xfId="0" applyFont="1" applyFill="1" applyBorder="1" applyAlignment="1" applyProtection="1">
      <alignment horizontal="right" vertical="center"/>
      <protection hidden="1"/>
    </xf>
    <xf numFmtId="0" fontId="29" fillId="53" borderId="52" xfId="0" applyFont="1" applyFill="1" applyBorder="1" applyAlignment="1" applyProtection="1">
      <alignment horizontal="centerContinuous" vertical="center"/>
      <protection hidden="1"/>
    </xf>
    <xf numFmtId="0" fontId="29" fillId="53" borderId="53" xfId="0" applyFont="1" applyFill="1" applyBorder="1" applyAlignment="1">
      <alignment horizontal="centerContinuous" vertical="center"/>
    </xf>
    <xf numFmtId="191" fontId="29" fillId="53" borderId="54" xfId="0" applyNumberFormat="1" applyFont="1" applyFill="1" applyBorder="1" applyAlignment="1" applyProtection="1">
      <alignment horizontal="center" vertical="center"/>
      <protection hidden="1"/>
    </xf>
    <xf numFmtId="2" fontId="29" fillId="31" borderId="54" xfId="0" applyNumberFormat="1" applyFont="1" applyFill="1" applyBorder="1" applyAlignment="1" applyProtection="1">
      <alignment horizontal="left" vertical="center"/>
      <protection hidden="1"/>
    </xf>
    <xf numFmtId="0" fontId="29" fillId="53" borderId="56" xfId="0" applyFont="1" applyFill="1" applyBorder="1" applyAlignment="1" applyProtection="1">
      <alignment horizontal="centerContinuous" vertical="center"/>
      <protection hidden="1"/>
    </xf>
    <xf numFmtId="0" fontId="0" fillId="53" borderId="57" xfId="0" applyFill="1" applyBorder="1" applyAlignment="1">
      <alignment horizontal="centerContinuous" vertical="center"/>
    </xf>
    <xf numFmtId="0" fontId="0" fillId="53" borderId="58" xfId="0" applyFill="1" applyBorder="1" applyAlignment="1">
      <alignment horizontal="centerContinuous" vertical="center"/>
    </xf>
    <xf numFmtId="0" fontId="29" fillId="31" borderId="26" xfId="0" applyFont="1" applyFill="1" applyBorder="1" applyAlignment="1" applyProtection="1">
      <alignment horizontal="centerContinuous" vertical="center"/>
      <protection hidden="1"/>
    </xf>
    <xf numFmtId="0" fontId="27" fillId="27" borderId="12" xfId="0" applyFont="1" applyFill="1" applyBorder="1" applyAlignment="1" applyProtection="1">
      <alignment horizontal="center" vertical="center"/>
      <protection hidden="1"/>
    </xf>
    <xf numFmtId="0" fontId="27" fillId="27" borderId="56" xfId="0" applyFont="1" applyFill="1" applyBorder="1" applyAlignment="1" applyProtection="1">
      <alignment horizontal="center" vertical="center"/>
      <protection hidden="1"/>
    </xf>
    <xf numFmtId="0" fontId="29" fillId="51" borderId="52" xfId="0" applyFont="1" applyFill="1" applyBorder="1">
      <alignment vertical="center"/>
    </xf>
    <xf numFmtId="0" fontId="164" fillId="51" borderId="53" xfId="0" applyFont="1" applyFill="1" applyBorder="1">
      <alignment vertical="center"/>
    </xf>
    <xf numFmtId="0" fontId="164" fillId="51" borderId="54" xfId="0" applyFont="1" applyFill="1" applyBorder="1">
      <alignment vertical="center"/>
    </xf>
    <xf numFmtId="0" fontId="29" fillId="51" borderId="64" xfId="0" applyFont="1" applyFill="1" applyBorder="1">
      <alignment vertical="center"/>
    </xf>
    <xf numFmtId="0" fontId="164" fillId="51" borderId="0" xfId="0" applyFont="1" applyFill="1" applyBorder="1">
      <alignment vertical="center"/>
    </xf>
    <xf numFmtId="0" fontId="164" fillId="51" borderId="17" xfId="0" applyFont="1" applyFill="1" applyBorder="1">
      <alignment vertical="center"/>
    </xf>
    <xf numFmtId="0" fontId="29" fillId="51" borderId="56" xfId="0" applyFont="1" applyFill="1" applyBorder="1">
      <alignment vertical="center"/>
    </xf>
    <xf numFmtId="0" fontId="164" fillId="51" borderId="57" xfId="0" applyFont="1" applyFill="1" applyBorder="1">
      <alignment vertical="center"/>
    </xf>
    <xf numFmtId="0" fontId="164" fillId="51" borderId="58" xfId="0" applyFont="1" applyFill="1" applyBorder="1">
      <alignment vertical="center"/>
    </xf>
    <xf numFmtId="0" fontId="29" fillId="53" borderId="26" xfId="0" applyFont="1" applyFill="1" applyBorder="1" applyAlignment="1" applyProtection="1">
      <alignment horizontal="centerContinuous" vertical="center"/>
      <protection hidden="1"/>
    </xf>
    <xf numFmtId="0" fontId="29" fillId="53" borderId="53" xfId="0" applyFont="1" applyFill="1" applyBorder="1">
      <alignment vertical="center"/>
    </xf>
    <xf numFmtId="0" fontId="164" fillId="53" borderId="53" xfId="0" applyFont="1" applyFill="1" applyBorder="1">
      <alignment vertical="center"/>
    </xf>
    <xf numFmtId="0" fontId="164" fillId="53" borderId="54" xfId="0" applyFont="1" applyFill="1" applyBorder="1">
      <alignment vertical="center"/>
    </xf>
    <xf numFmtId="0" fontId="29" fillId="27" borderId="52" xfId="0" applyNumberFormat="1" applyFont="1" applyFill="1" applyBorder="1" applyAlignment="1" applyProtection="1">
      <alignment horizontal="center" vertical="center"/>
      <protection hidden="1"/>
    </xf>
    <xf numFmtId="0" fontId="29" fillId="27" borderId="64" xfId="0" applyNumberFormat="1" applyFont="1" applyFill="1" applyBorder="1" applyAlignment="1" applyProtection="1">
      <alignment horizontal="center" vertical="center"/>
      <protection hidden="1"/>
    </xf>
    <xf numFmtId="0" fontId="29" fillId="27" borderId="56" xfId="0" applyNumberFormat="1" applyFont="1" applyFill="1" applyBorder="1" applyAlignment="1" applyProtection="1">
      <alignment horizontal="center" vertical="center"/>
      <protection hidden="1"/>
    </xf>
    <xf numFmtId="0" fontId="29" fillId="27" borderId="53" xfId="0" applyNumberFormat="1" applyFont="1" applyFill="1" applyBorder="1" applyAlignment="1" applyProtection="1">
      <alignment horizontal="center" vertical="center"/>
      <protection hidden="1"/>
    </xf>
    <xf numFmtId="0" fontId="29" fillId="27" borderId="0" xfId="0" applyNumberFormat="1" applyFont="1" applyFill="1" applyBorder="1" applyAlignment="1" applyProtection="1">
      <alignment horizontal="center" vertical="center"/>
      <protection hidden="1"/>
    </xf>
    <xf numFmtId="0" fontId="29" fillId="27" borderId="57" xfId="0" applyNumberFormat="1" applyFont="1" applyFill="1" applyBorder="1" applyAlignment="1" applyProtection="1">
      <alignment horizontal="center" vertical="center"/>
      <protection hidden="1"/>
    </xf>
    <xf numFmtId="2" fontId="29" fillId="27" borderId="54" xfId="0" applyNumberFormat="1" applyFont="1" applyFill="1" applyBorder="1" applyAlignment="1" applyProtection="1">
      <alignment horizontal="left" vertical="center"/>
      <protection hidden="1"/>
    </xf>
    <xf numFmtId="2" fontId="29" fillId="27" borderId="17" xfId="0" applyNumberFormat="1" applyFont="1" applyFill="1" applyBorder="1" applyAlignment="1" applyProtection="1">
      <alignment horizontal="left" vertical="center"/>
      <protection hidden="1"/>
    </xf>
    <xf numFmtId="2" fontId="29" fillId="27" borderId="58" xfId="0" applyNumberFormat="1" applyFont="1" applyFill="1" applyBorder="1" applyAlignment="1" applyProtection="1">
      <alignment horizontal="left" vertical="center"/>
      <protection hidden="1"/>
    </xf>
    <xf numFmtId="2" fontId="29" fillId="27" borderId="17" xfId="0" applyNumberFormat="1" applyFont="1" applyFill="1" applyBorder="1" applyAlignment="1" applyProtection="1">
      <alignment horizontal="left" vertical="center" wrapText="1"/>
      <protection hidden="1"/>
    </xf>
    <xf numFmtId="179" fontId="29" fillId="31" borderId="26" xfId="0" applyNumberFormat="1" applyFont="1" applyFill="1" applyBorder="1" applyAlignment="1" applyProtection="1">
      <alignment horizontal="center" vertical="center"/>
      <protection hidden="1"/>
    </xf>
    <xf numFmtId="0" fontId="126" fillId="27" borderId="66" xfId="0" applyFont="1" applyFill="1" applyBorder="1" applyAlignment="1" applyProtection="1">
      <alignment vertical="center"/>
    </xf>
    <xf numFmtId="0" fontId="169" fillId="27" borderId="66" xfId="0" applyFont="1" applyFill="1" applyBorder="1" applyAlignment="1" applyProtection="1">
      <alignment vertical="center"/>
    </xf>
    <xf numFmtId="0" fontId="29" fillId="27" borderId="63" xfId="0" applyFont="1" applyFill="1" applyBorder="1" applyAlignment="1" applyProtection="1">
      <alignment vertical="center" wrapText="1"/>
    </xf>
    <xf numFmtId="0" fontId="38" fillId="27" borderId="0" xfId="0" applyFont="1" applyFill="1" applyBorder="1" applyAlignment="1" applyProtection="1">
      <alignment vertical="center" wrapText="1"/>
    </xf>
    <xf numFmtId="2" fontId="34" fillId="27" borderId="10" xfId="28" applyNumberFormat="1" applyFont="1" applyFill="1" applyBorder="1" applyProtection="1">
      <alignment vertical="center"/>
    </xf>
    <xf numFmtId="178" fontId="34" fillId="27" borderId="0" xfId="0" applyNumberFormat="1" applyFont="1" applyFill="1" applyBorder="1" applyAlignment="1" applyProtection="1">
      <alignment horizontal="right" vertical="center"/>
    </xf>
    <xf numFmtId="0" fontId="34" fillId="27" borderId="10" xfId="0" applyFont="1" applyFill="1" applyBorder="1" applyAlignment="1" applyProtection="1">
      <alignment horizontal="center" vertical="center"/>
    </xf>
    <xf numFmtId="178" fontId="34" fillId="39" borderId="144" xfId="0" applyNumberFormat="1" applyFont="1" applyFill="1" applyBorder="1" applyProtection="1">
      <alignment vertical="center"/>
      <protection locked="0"/>
    </xf>
    <xf numFmtId="178" fontId="34" fillId="58" borderId="144" xfId="0" applyNumberFormat="1" applyFont="1" applyFill="1" applyBorder="1" applyProtection="1">
      <alignment vertical="center"/>
      <protection locked="0"/>
    </xf>
    <xf numFmtId="0" fontId="34" fillId="27" borderId="51" xfId="0" applyFont="1" applyFill="1" applyBorder="1" applyAlignment="1" applyProtection="1">
      <alignment vertical="top"/>
    </xf>
    <xf numFmtId="0" fontId="34" fillId="27" borderId="26" xfId="0" applyFont="1" applyFill="1" applyBorder="1" applyAlignment="1" applyProtection="1">
      <alignment vertical="top"/>
    </xf>
    <xf numFmtId="0" fontId="34" fillId="27" borderId="27" xfId="0" applyFont="1" applyFill="1" applyBorder="1" applyAlignment="1" applyProtection="1">
      <alignment vertical="top"/>
    </xf>
    <xf numFmtId="204" fontId="34" fillId="27" borderId="10" xfId="0" applyNumberFormat="1" applyFont="1" applyFill="1" applyBorder="1" applyProtection="1">
      <alignment vertical="center"/>
    </xf>
    <xf numFmtId="0" fontId="34" fillId="27" borderId="55" xfId="0" applyFont="1" applyFill="1" applyBorder="1" applyAlignment="1" applyProtection="1">
      <alignment vertical="top"/>
    </xf>
    <xf numFmtId="0" fontId="34" fillId="27" borderId="15" xfId="0" applyFont="1" applyFill="1" applyBorder="1" applyAlignment="1" applyProtection="1">
      <alignment vertical="top"/>
    </xf>
    <xf numFmtId="0" fontId="34" fillId="27" borderId="52" xfId="0" applyFont="1" applyFill="1" applyBorder="1" applyAlignment="1" applyProtection="1">
      <alignment vertical="top"/>
    </xf>
    <xf numFmtId="0" fontId="34" fillId="27" borderId="10" xfId="0" applyFont="1" applyFill="1" applyBorder="1" applyAlignment="1" applyProtection="1">
      <alignment vertical="top"/>
    </xf>
    <xf numFmtId="0" fontId="34" fillId="27" borderId="56" xfId="0" applyFont="1" applyFill="1" applyBorder="1" applyAlignment="1" applyProtection="1">
      <alignment vertical="top"/>
    </xf>
    <xf numFmtId="0" fontId="34" fillId="27" borderId="50" xfId="0" applyFont="1" applyFill="1" applyBorder="1" applyAlignment="1" applyProtection="1">
      <alignment vertical="top"/>
    </xf>
    <xf numFmtId="0" fontId="34" fillId="27" borderId="54" xfId="0" applyFont="1" applyFill="1" applyBorder="1" applyAlignment="1" applyProtection="1">
      <alignment vertical="top"/>
    </xf>
    <xf numFmtId="204" fontId="34" fillId="27" borderId="51" xfId="0" applyNumberFormat="1" applyFont="1" applyFill="1" applyBorder="1" applyProtection="1">
      <alignment vertical="center"/>
    </xf>
    <xf numFmtId="204" fontId="34" fillId="27" borderId="144" xfId="0" applyNumberFormat="1" applyFont="1" applyFill="1" applyBorder="1" applyProtection="1">
      <alignment vertical="center"/>
    </xf>
    <xf numFmtId="40" fontId="34" fillId="27" borderId="10" xfId="35" applyNumberFormat="1" applyFont="1" applyFill="1" applyBorder="1" applyProtection="1">
      <alignment vertical="center"/>
    </xf>
    <xf numFmtId="38" fontId="34" fillId="27" borderId="10" xfId="35" applyNumberFormat="1" applyFont="1" applyFill="1" applyBorder="1" applyAlignment="1" applyProtection="1">
      <alignment horizontal="right" vertical="center"/>
    </xf>
    <xf numFmtId="0" fontId="38" fillId="27" borderId="0" xfId="0" applyFont="1" applyFill="1" applyBorder="1" applyAlignment="1" applyProtection="1">
      <alignment horizontal="right" vertical="top"/>
    </xf>
    <xf numFmtId="0" fontId="38" fillId="27" borderId="0" xfId="0" applyFont="1" applyFill="1" applyBorder="1" applyAlignment="1" applyProtection="1">
      <alignment vertical="top"/>
    </xf>
    <xf numFmtId="0" fontId="27" fillId="27" borderId="0" xfId="0" applyFont="1" applyFill="1" applyBorder="1" applyProtection="1">
      <alignment vertical="center"/>
    </xf>
    <xf numFmtId="178" fontId="29" fillId="27" borderId="0" xfId="0" applyNumberFormat="1" applyFont="1" applyFill="1" applyBorder="1" applyAlignment="1" applyProtection="1">
      <alignment horizontal="left" vertical="center"/>
    </xf>
    <xf numFmtId="0" fontId="29" fillId="27" borderId="0" xfId="44" applyFont="1" applyFill="1" applyBorder="1" applyAlignment="1" applyProtection="1"/>
    <xf numFmtId="0" fontId="29" fillId="27" borderId="0" xfId="0" applyFont="1" applyFill="1" applyBorder="1" applyAlignment="1" applyProtection="1">
      <alignment horizontal="left" vertical="center"/>
    </xf>
    <xf numFmtId="0" fontId="29" fillId="27" borderId="0" xfId="0" applyFont="1" applyFill="1" applyBorder="1" applyAlignment="1" applyProtection="1">
      <alignment horizontal="right" vertical="center"/>
    </xf>
    <xf numFmtId="0" fontId="29" fillId="27" borderId="0" xfId="44" applyFont="1" applyFill="1" applyBorder="1" applyAlignment="1" applyProtection="1">
      <alignment horizontal="left"/>
    </xf>
    <xf numFmtId="180" fontId="38" fillId="31" borderId="108" xfId="0" applyNumberFormat="1" applyFont="1" applyFill="1" applyBorder="1" applyAlignment="1" applyProtection="1">
      <alignment horizontal="left" vertical="center"/>
      <protection hidden="1"/>
    </xf>
    <xf numFmtId="0" fontId="108" fillId="0" borderId="213" xfId="0" quotePrefix="1" applyNumberFormat="1" applyFont="1" applyFill="1" applyBorder="1" applyAlignment="1" applyProtection="1">
      <alignment horizontal="center" vertical="center"/>
      <protection hidden="1"/>
    </xf>
    <xf numFmtId="0" fontId="0" fillId="0" borderId="123" xfId="0" applyFont="1" applyBorder="1" applyProtection="1">
      <alignment vertical="center"/>
      <protection hidden="1"/>
    </xf>
    <xf numFmtId="0" fontId="34" fillId="65" borderId="233" xfId="0" applyFont="1" applyFill="1" applyBorder="1" applyAlignment="1" applyProtection="1">
      <alignment horizontal="center" vertical="center"/>
      <protection hidden="1"/>
    </xf>
    <xf numFmtId="0" fontId="34" fillId="65" borderId="171" xfId="0" applyFont="1" applyFill="1" applyBorder="1" applyAlignment="1" applyProtection="1">
      <alignment horizontal="center" vertical="center"/>
      <protection hidden="1"/>
    </xf>
    <xf numFmtId="180" fontId="38" fillId="33" borderId="92" xfId="0" applyNumberFormat="1" applyFont="1" applyFill="1" applyBorder="1" applyAlignment="1" applyProtection="1">
      <alignment horizontal="left" vertical="center"/>
      <protection hidden="1"/>
    </xf>
    <xf numFmtId="180" fontId="38" fillId="0" borderId="100" xfId="0" applyNumberFormat="1" applyFont="1" applyFill="1" applyBorder="1" applyAlignment="1" applyProtection="1">
      <alignment horizontal="left" vertical="center"/>
      <protection hidden="1"/>
    </xf>
    <xf numFmtId="0" fontId="126" fillId="64" borderId="77" xfId="0" applyFont="1" applyFill="1" applyBorder="1" applyAlignment="1" applyProtection="1">
      <alignment horizontal="center" vertical="center"/>
      <protection hidden="1"/>
    </xf>
    <xf numFmtId="0" fontId="126" fillId="63" borderId="96" xfId="0" applyFont="1" applyFill="1" applyBorder="1" applyAlignment="1" applyProtection="1">
      <alignment horizontal="center" vertical="center"/>
      <protection hidden="1"/>
    </xf>
    <xf numFmtId="0" fontId="126" fillId="62" borderId="182" xfId="0" applyFont="1" applyFill="1" applyBorder="1" applyAlignment="1" applyProtection="1">
      <alignment horizontal="center" vertical="center"/>
      <protection hidden="1"/>
    </xf>
    <xf numFmtId="0" fontId="126" fillId="62" borderId="233" xfId="0" applyFont="1" applyFill="1" applyBorder="1" applyAlignment="1" applyProtection="1">
      <alignment horizontal="center" vertical="center"/>
      <protection hidden="1"/>
    </xf>
    <xf numFmtId="0" fontId="0" fillId="0" borderId="80" xfId="0" applyBorder="1" applyProtection="1">
      <alignment vertical="center"/>
      <protection hidden="1"/>
    </xf>
    <xf numFmtId="0" fontId="0" fillId="0" borderId="123" xfId="0" applyBorder="1" applyProtection="1">
      <alignment vertical="center"/>
      <protection hidden="1"/>
    </xf>
    <xf numFmtId="0" fontId="126" fillId="62" borderId="86" xfId="0" applyFont="1" applyFill="1" applyBorder="1" applyAlignment="1" applyProtection="1">
      <alignment horizontal="center" vertical="center"/>
      <protection hidden="1"/>
    </xf>
    <xf numFmtId="0" fontId="126" fillId="62" borderId="213" xfId="0" applyFont="1" applyFill="1" applyBorder="1" applyAlignment="1" applyProtection="1">
      <alignment horizontal="center" vertical="center"/>
      <protection hidden="1"/>
    </xf>
    <xf numFmtId="0" fontId="34" fillId="0" borderId="171" xfId="0" applyFont="1" applyFill="1" applyBorder="1" applyAlignment="1" applyProtection="1">
      <alignment horizontal="center" vertical="center"/>
      <protection hidden="1"/>
    </xf>
    <xf numFmtId="180" fontId="29" fillId="0" borderId="100" xfId="0" applyNumberFormat="1" applyFont="1" applyFill="1" applyBorder="1" applyAlignment="1" applyProtection="1">
      <alignment horizontal="left" vertical="center" wrapText="1"/>
      <protection hidden="1"/>
    </xf>
    <xf numFmtId="180" fontId="29" fillId="0" borderId="112" xfId="0" applyNumberFormat="1" applyFont="1" applyFill="1" applyBorder="1" applyAlignment="1" applyProtection="1">
      <alignment horizontal="left" vertical="top" wrapText="1"/>
      <protection hidden="1"/>
    </xf>
    <xf numFmtId="0" fontId="34" fillId="60" borderId="232" xfId="0" applyFont="1" applyFill="1" applyBorder="1" applyAlignment="1" applyProtection="1">
      <alignment horizontal="center" vertical="center"/>
      <protection hidden="1"/>
    </xf>
    <xf numFmtId="0" fontId="34" fillId="60" borderId="171" xfId="0" applyFont="1" applyFill="1" applyBorder="1" applyAlignment="1" applyProtection="1">
      <alignment horizontal="center" vertical="center"/>
      <protection hidden="1"/>
    </xf>
    <xf numFmtId="0" fontId="24" fillId="0" borderId="100" xfId="0" applyFont="1" applyFill="1" applyBorder="1" applyAlignment="1" applyProtection="1">
      <alignment horizontal="center" vertical="center"/>
      <protection hidden="1"/>
    </xf>
    <xf numFmtId="180" fontId="24" fillId="60" borderId="123" xfId="0" applyNumberFormat="1" applyFont="1" applyFill="1" applyBorder="1" applyAlignment="1" applyProtection="1">
      <alignment horizontal="center" vertical="center" wrapText="1"/>
      <protection hidden="1"/>
    </xf>
    <xf numFmtId="0" fontId="0" fillId="0" borderId="100" xfId="0" applyFill="1" applyBorder="1" applyProtection="1">
      <alignment vertical="center"/>
      <protection hidden="1"/>
    </xf>
    <xf numFmtId="0" fontId="0" fillId="0" borderId="171" xfId="0" applyFill="1" applyBorder="1" applyProtection="1">
      <alignment vertical="center"/>
      <protection hidden="1"/>
    </xf>
    <xf numFmtId="180" fontId="29" fillId="0" borderId="96" xfId="0" applyNumberFormat="1" applyFont="1" applyFill="1" applyBorder="1" applyAlignment="1" applyProtection="1">
      <alignment horizontal="left" vertical="center" wrapText="1"/>
      <protection hidden="1"/>
    </xf>
    <xf numFmtId="0" fontId="24" fillId="59" borderId="220" xfId="0" applyFont="1" applyFill="1" applyBorder="1" applyAlignment="1" applyProtection="1">
      <alignment horizontal="center" vertical="center"/>
      <protection hidden="1"/>
    </xf>
    <xf numFmtId="180" fontId="38" fillId="31" borderId="134" xfId="0" applyNumberFormat="1" applyFont="1" applyFill="1" applyBorder="1" applyAlignment="1" applyProtection="1">
      <alignment horizontal="left" vertical="center"/>
      <protection hidden="1"/>
    </xf>
    <xf numFmtId="0" fontId="24" fillId="0" borderId="171" xfId="0" applyFont="1" applyFill="1" applyBorder="1" applyAlignment="1" applyProtection="1">
      <alignment horizontal="center" vertical="center"/>
      <protection hidden="1"/>
    </xf>
    <xf numFmtId="0" fontId="0" fillId="0" borderId="171" xfId="0" applyBorder="1" applyAlignment="1" applyProtection="1">
      <alignment horizontal="center" vertical="center"/>
      <protection hidden="1"/>
    </xf>
    <xf numFmtId="0" fontId="0" fillId="0" borderId="100" xfId="0" applyBorder="1" applyAlignment="1" applyProtection="1">
      <alignment horizontal="center" vertical="center"/>
      <protection hidden="1"/>
    </xf>
    <xf numFmtId="180" fontId="29" fillId="0" borderId="123" xfId="0" applyNumberFormat="1" applyFont="1" applyFill="1" applyBorder="1" applyAlignment="1" applyProtection="1">
      <alignment horizontal="left" vertical="center" wrapText="1"/>
      <protection hidden="1"/>
    </xf>
    <xf numFmtId="0" fontId="0" fillId="59" borderId="171" xfId="0" applyFill="1" applyBorder="1" applyAlignment="1" applyProtection="1">
      <alignment horizontal="center" vertical="center"/>
      <protection hidden="1"/>
    </xf>
    <xf numFmtId="180" fontId="29" fillId="0" borderId="80" xfId="0" applyNumberFormat="1" applyFont="1" applyFill="1" applyBorder="1" applyAlignment="1" applyProtection="1">
      <alignment horizontal="left" vertical="center" wrapText="1"/>
      <protection hidden="1"/>
    </xf>
    <xf numFmtId="0" fontId="24" fillId="59" borderId="123" xfId="0" applyFont="1" applyFill="1" applyBorder="1" applyAlignment="1" applyProtection="1">
      <alignment horizontal="center" vertical="center"/>
      <protection hidden="1"/>
    </xf>
    <xf numFmtId="0" fontId="0" fillId="0" borderId="171" xfId="0" applyBorder="1" applyProtection="1">
      <alignment vertical="center"/>
      <protection hidden="1"/>
    </xf>
    <xf numFmtId="180" fontId="29" fillId="0" borderId="220" xfId="0" applyNumberFormat="1" applyFont="1" applyFill="1" applyBorder="1" applyAlignment="1" applyProtection="1">
      <alignment horizontal="left" vertical="center" wrapText="1"/>
      <protection hidden="1"/>
    </xf>
    <xf numFmtId="180" fontId="27" fillId="27" borderId="96" xfId="0" applyNumberFormat="1" applyFont="1" applyFill="1" applyBorder="1" applyAlignment="1" applyProtection="1">
      <alignment horizontal="center" vertical="center" wrapText="1"/>
      <protection hidden="1"/>
    </xf>
    <xf numFmtId="0" fontId="108" fillId="0" borderId="171" xfId="0" quotePrefix="1" applyNumberFormat="1" applyFont="1" applyFill="1" applyBorder="1" applyAlignment="1" applyProtection="1">
      <alignment horizontal="center" vertical="center"/>
      <protection hidden="1"/>
    </xf>
    <xf numFmtId="180" fontId="38" fillId="33" borderId="100" xfId="0" applyNumberFormat="1" applyFont="1" applyFill="1" applyBorder="1" applyAlignment="1" applyProtection="1">
      <alignment horizontal="left" vertical="center"/>
      <protection hidden="1"/>
    </xf>
    <xf numFmtId="0" fontId="34" fillId="27" borderId="0" xfId="0" applyFont="1" applyFill="1" applyBorder="1" applyAlignment="1" applyProtection="1">
      <alignment horizontal="center" vertical="center"/>
    </xf>
    <xf numFmtId="0" fontId="0" fillId="0" borderId="0" xfId="0">
      <alignment vertical="center"/>
    </xf>
    <xf numFmtId="0" fontId="126" fillId="27" borderId="0" xfId="0" applyFont="1" applyFill="1" applyBorder="1" applyProtection="1">
      <alignment vertical="center"/>
    </xf>
    <xf numFmtId="0" fontId="34" fillId="27" borderId="62" xfId="0" applyFont="1" applyFill="1" applyBorder="1" applyProtection="1">
      <alignment vertical="center"/>
    </xf>
    <xf numFmtId="0" fontId="34" fillId="27" borderId="0" xfId="0" applyFont="1" applyFill="1" applyBorder="1" applyProtection="1">
      <alignment vertical="center"/>
    </xf>
    <xf numFmtId="0" fontId="34" fillId="27" borderId="63" xfId="0" applyFont="1" applyFill="1" applyBorder="1" applyProtection="1">
      <alignment vertical="center"/>
    </xf>
    <xf numFmtId="0" fontId="0" fillId="0" borderId="100" xfId="0" applyBorder="1" applyProtection="1">
      <alignment vertical="center"/>
      <protection hidden="1"/>
    </xf>
    <xf numFmtId="0" fontId="126" fillId="27" borderId="50" xfId="0" applyFont="1" applyFill="1" applyBorder="1" applyProtection="1">
      <alignment vertical="center"/>
    </xf>
    <xf numFmtId="0" fontId="34" fillId="27" borderId="50" xfId="0" applyFont="1" applyFill="1" applyBorder="1" applyProtection="1">
      <alignment vertical="center"/>
    </xf>
    <xf numFmtId="0" fontId="29" fillId="27" borderId="51" xfId="0" applyFont="1" applyFill="1" applyBorder="1" applyAlignment="1" applyProtection="1">
      <alignment horizontal="center"/>
    </xf>
    <xf numFmtId="0" fontId="34" fillId="27" borderId="0" xfId="0" applyFont="1" applyFill="1" applyBorder="1" applyProtection="1">
      <alignment vertical="center"/>
    </xf>
    <xf numFmtId="0" fontId="126" fillId="27" borderId="0" xfId="0" applyFont="1" applyFill="1" applyBorder="1" applyAlignment="1" applyProtection="1">
      <alignment horizontal="right" vertical="center"/>
    </xf>
    <xf numFmtId="178" fontId="34" fillId="58" borderId="144" xfId="0" applyNumberFormat="1" applyFont="1" applyFill="1" applyBorder="1" applyProtection="1">
      <alignment vertical="center"/>
      <protection locked="0"/>
    </xf>
    <xf numFmtId="0" fontId="29" fillId="27" borderId="55" xfId="0" applyFont="1" applyFill="1" applyBorder="1" applyAlignment="1" applyProtection="1">
      <alignment horizontal="center"/>
    </xf>
    <xf numFmtId="0" fontId="32" fillId="37" borderId="69" xfId="0" applyNumberFormat="1" applyFont="1" applyFill="1" applyBorder="1" applyAlignment="1" applyProtection="1">
      <alignment horizontal="left" vertical="center"/>
      <protection hidden="1"/>
    </xf>
    <xf numFmtId="0" fontId="0" fillId="0" borderId="0" xfId="0">
      <alignment vertical="center"/>
    </xf>
    <xf numFmtId="0" fontId="27" fillId="0" borderId="0" xfId="0" applyFont="1" applyFill="1" applyBorder="1" applyAlignment="1" applyProtection="1">
      <alignment horizontal="center" vertical="justify"/>
      <protection hidden="1"/>
    </xf>
    <xf numFmtId="0" fontId="30" fillId="0" borderId="0" xfId="0" applyFont="1" applyFill="1" applyProtection="1">
      <alignment vertical="center"/>
      <protection hidden="1"/>
    </xf>
    <xf numFmtId="0" fontId="30" fillId="0" borderId="10" xfId="0" applyFont="1" applyFill="1" applyBorder="1" applyProtection="1">
      <alignment vertical="center"/>
      <protection hidden="1"/>
    </xf>
    <xf numFmtId="0" fontId="27" fillId="0" borderId="10" xfId="0" applyNumberFormat="1" applyFont="1" applyFill="1" applyBorder="1" applyAlignment="1" applyProtection="1">
      <alignment horizontal="center" vertical="justify"/>
      <protection hidden="1"/>
    </xf>
    <xf numFmtId="0" fontId="130" fillId="0" borderId="10" xfId="0" applyNumberFormat="1" applyFont="1" applyFill="1" applyBorder="1" applyAlignment="1" applyProtection="1">
      <alignment horizontal="center" vertical="center"/>
      <protection hidden="1"/>
    </xf>
    <xf numFmtId="183" fontId="30" fillId="0" borderId="92" xfId="0" applyNumberFormat="1" applyFont="1" applyFill="1" applyBorder="1" applyAlignment="1" applyProtection="1">
      <alignment horizontal="center" vertical="center"/>
      <protection hidden="1"/>
    </xf>
    <xf numFmtId="177" fontId="30" fillId="0" borderId="113" xfId="0" applyNumberFormat="1" applyFont="1" applyFill="1" applyBorder="1" applyAlignment="1" applyProtection="1">
      <alignment horizontal="center" vertical="center"/>
      <protection hidden="1"/>
    </xf>
    <xf numFmtId="177" fontId="30" fillId="0" borderId="114" xfId="0" applyNumberFormat="1" applyFont="1" applyFill="1" applyBorder="1" applyAlignment="1" applyProtection="1">
      <alignment horizontal="center" vertical="center"/>
      <protection hidden="1"/>
    </xf>
    <xf numFmtId="183" fontId="30" fillId="0" borderId="115" xfId="0" applyNumberFormat="1" applyFont="1" applyFill="1" applyBorder="1" applyAlignment="1" applyProtection="1">
      <alignment horizontal="center" vertical="center"/>
      <protection hidden="1"/>
    </xf>
    <xf numFmtId="177" fontId="30" fillId="0" borderId="116" xfId="0" applyNumberFormat="1" applyFont="1" applyFill="1" applyBorder="1" applyAlignment="1" applyProtection="1">
      <alignment horizontal="center" vertical="center"/>
      <protection hidden="1"/>
    </xf>
    <xf numFmtId="177" fontId="30" fillId="0" borderId="117" xfId="0" applyNumberFormat="1" applyFont="1" applyFill="1" applyBorder="1" applyAlignment="1" applyProtection="1">
      <alignment horizontal="center" vertical="center"/>
      <protection hidden="1"/>
    </xf>
    <xf numFmtId="183" fontId="30" fillId="0" borderId="100" xfId="0" applyNumberFormat="1" applyFont="1" applyFill="1" applyBorder="1" applyAlignment="1" applyProtection="1">
      <alignment horizontal="center" vertical="center"/>
      <protection hidden="1"/>
    </xf>
    <xf numFmtId="177" fontId="30" fillId="0" borderId="118" xfId="0" applyNumberFormat="1" applyFont="1" applyFill="1" applyBorder="1" applyAlignment="1" applyProtection="1">
      <alignment horizontal="center" vertical="center"/>
      <protection hidden="1"/>
    </xf>
    <xf numFmtId="177" fontId="30" fillId="0" borderId="119" xfId="0" applyNumberFormat="1" applyFont="1" applyFill="1" applyBorder="1" applyAlignment="1" applyProtection="1">
      <alignment horizontal="center" vertical="center"/>
      <protection hidden="1"/>
    </xf>
    <xf numFmtId="177" fontId="30" fillId="0" borderId="92" xfId="0" applyNumberFormat="1" applyFont="1" applyFill="1" applyBorder="1" applyAlignment="1" applyProtection="1">
      <alignment horizontal="center" vertical="center"/>
      <protection hidden="1"/>
    </xf>
    <xf numFmtId="177" fontId="30" fillId="0" borderId="115" xfId="0" applyNumberFormat="1" applyFont="1" applyFill="1" applyBorder="1" applyAlignment="1" applyProtection="1">
      <alignment horizontal="center" vertical="center"/>
      <protection hidden="1"/>
    </xf>
    <xf numFmtId="177" fontId="30" fillId="0" borderId="68" xfId="0" applyNumberFormat="1" applyFont="1" applyFill="1" applyBorder="1" applyAlignment="1" applyProtection="1">
      <alignment horizontal="center" vertical="center"/>
      <protection hidden="1"/>
    </xf>
    <xf numFmtId="0" fontId="0" fillId="0" borderId="0" xfId="0" applyFill="1">
      <alignment vertical="center"/>
    </xf>
    <xf numFmtId="0" fontId="0" fillId="0" borderId="60" xfId="0" applyBorder="1">
      <alignment vertical="center"/>
    </xf>
    <xf numFmtId="0" fontId="64" fillId="37" borderId="69" xfId="0" applyFont="1" applyFill="1" applyBorder="1" applyAlignment="1" applyProtection="1">
      <alignment horizontal="center" vertical="center"/>
      <protection hidden="1"/>
    </xf>
    <xf numFmtId="0" fontId="34" fillId="65" borderId="172" xfId="0" applyFont="1" applyFill="1" applyBorder="1" applyAlignment="1" applyProtection="1">
      <alignment horizontal="center" vertical="center"/>
      <protection hidden="1"/>
    </xf>
    <xf numFmtId="0" fontId="126" fillId="31" borderId="134" xfId="0" applyNumberFormat="1" applyFont="1" applyFill="1" applyBorder="1" applyAlignment="1" applyProtection="1">
      <alignment horizontal="center" vertical="center"/>
      <protection hidden="1"/>
    </xf>
    <xf numFmtId="0" fontId="126" fillId="31" borderId="130" xfId="0" applyNumberFormat="1" applyFont="1" applyFill="1" applyBorder="1" applyAlignment="1" applyProtection="1">
      <alignment horizontal="center" vertical="center"/>
      <protection hidden="1"/>
    </xf>
    <xf numFmtId="180" fontId="29" fillId="0" borderId="207" xfId="0" applyNumberFormat="1" applyFont="1" applyFill="1" applyBorder="1" applyAlignment="1" applyProtection="1">
      <alignment horizontal="left" vertical="center" wrapText="1"/>
      <protection hidden="1"/>
    </xf>
    <xf numFmtId="0" fontId="0" fillId="0" borderId="234" xfId="0" applyBorder="1" applyProtection="1">
      <alignment vertical="center"/>
      <protection hidden="1"/>
    </xf>
    <xf numFmtId="0" fontId="0" fillId="0" borderId="63" xfId="0" applyBorder="1" applyProtection="1">
      <alignment vertical="center"/>
      <protection hidden="1"/>
    </xf>
    <xf numFmtId="0" fontId="0" fillId="0" borderId="82" xfId="0" applyBorder="1" applyProtection="1">
      <alignment vertical="center"/>
      <protection hidden="1"/>
    </xf>
    <xf numFmtId="0" fontId="0" fillId="0" borderId="13" xfId="0" applyBorder="1" applyProtection="1">
      <alignment vertical="center"/>
      <protection hidden="1"/>
    </xf>
    <xf numFmtId="0" fontId="0" fillId="0" borderId="0" xfId="0" applyBorder="1" applyProtection="1">
      <alignment vertical="center"/>
      <protection hidden="1"/>
    </xf>
    <xf numFmtId="0" fontId="0" fillId="0" borderId="172" xfId="0" applyBorder="1" applyProtection="1">
      <alignment vertical="center"/>
      <protection hidden="1"/>
    </xf>
    <xf numFmtId="180" fontId="29" fillId="0" borderId="123" xfId="0" applyNumberFormat="1" applyFont="1" applyFill="1" applyBorder="1" applyAlignment="1" applyProtection="1">
      <alignment horizontal="left" vertical="top" wrapText="1"/>
      <protection hidden="1"/>
    </xf>
    <xf numFmtId="0" fontId="34" fillId="0" borderId="183" xfId="0" applyFont="1" applyFill="1" applyBorder="1" applyAlignment="1" applyProtection="1">
      <alignment horizontal="center" vertical="center"/>
      <protection hidden="1"/>
    </xf>
    <xf numFmtId="0" fontId="170" fillId="27" borderId="10" xfId="0" applyFont="1" applyFill="1" applyBorder="1" applyAlignment="1" applyProtection="1">
      <alignment horizontal="center" vertical="center"/>
      <protection hidden="1"/>
    </xf>
    <xf numFmtId="0" fontId="170" fillId="27" borderId="50" xfId="0" applyFont="1" applyFill="1" applyBorder="1" applyAlignment="1" applyProtection="1">
      <alignment vertical="center"/>
      <protection hidden="1"/>
    </xf>
    <xf numFmtId="0" fontId="171" fillId="27" borderId="82" xfId="0" applyFont="1" applyFill="1" applyBorder="1" applyAlignment="1" applyProtection="1">
      <alignment vertical="center"/>
      <protection hidden="1"/>
    </xf>
    <xf numFmtId="0" fontId="172" fillId="27" borderId="64" xfId="0" applyFont="1" applyFill="1" applyBorder="1" applyAlignment="1" applyProtection="1">
      <alignment vertical="center"/>
      <protection hidden="1"/>
    </xf>
    <xf numFmtId="0" fontId="170" fillId="27" borderId="53" xfId="0" applyFont="1" applyFill="1" applyBorder="1" applyAlignment="1" applyProtection="1">
      <alignment vertical="center"/>
      <protection hidden="1"/>
    </xf>
    <xf numFmtId="0" fontId="171" fillId="27" borderId="53" xfId="0" applyFont="1" applyFill="1" applyBorder="1" applyAlignment="1" applyProtection="1">
      <alignment vertical="center"/>
      <protection hidden="1"/>
    </xf>
    <xf numFmtId="0" fontId="171" fillId="27" borderId="90" xfId="0" applyFont="1" applyFill="1" applyBorder="1" applyAlignment="1" applyProtection="1">
      <alignment vertical="center"/>
      <protection hidden="1"/>
    </xf>
    <xf numFmtId="0" fontId="173" fillId="27" borderId="64" xfId="29" applyFont="1" applyFill="1" applyBorder="1" applyAlignment="1" applyProtection="1">
      <alignment horizontal="center" vertical="center"/>
      <protection hidden="1"/>
    </xf>
    <xf numFmtId="0" fontId="173" fillId="27" borderId="56" xfId="29" applyFont="1" applyFill="1" applyBorder="1" applyAlignment="1" applyProtection="1">
      <alignment horizontal="center" vertical="center"/>
      <protection hidden="1"/>
    </xf>
    <xf numFmtId="0" fontId="126" fillId="0" borderId="62" xfId="0" applyFont="1" applyFill="1" applyBorder="1" applyAlignment="1" applyProtection="1">
      <alignment horizontal="center"/>
      <protection hidden="1"/>
    </xf>
    <xf numFmtId="0" fontId="131" fillId="0" borderId="56" xfId="29" applyFont="1" applyFill="1" applyBorder="1" applyAlignment="1" applyProtection="1">
      <alignment horizontal="center" vertical="center"/>
      <protection hidden="1"/>
    </xf>
    <xf numFmtId="0" fontId="34" fillId="0" borderId="50" xfId="0" applyFont="1" applyFill="1" applyBorder="1" applyAlignment="1" applyProtection="1">
      <alignment vertical="center"/>
      <protection hidden="1"/>
    </xf>
    <xf numFmtId="0" fontId="129" fillId="0" borderId="82" xfId="0" applyFont="1" applyFill="1" applyBorder="1" applyAlignment="1" applyProtection="1">
      <alignment vertical="center"/>
      <protection hidden="1"/>
    </xf>
    <xf numFmtId="192" fontId="130" fillId="0" borderId="0" xfId="0" applyNumberFormat="1" applyFont="1" applyFill="1" applyBorder="1" applyAlignment="1" applyProtection="1">
      <alignment horizontal="center" vertical="center"/>
      <protection hidden="1"/>
    </xf>
    <xf numFmtId="183" fontId="127" fillId="0" borderId="100" xfId="0" applyNumberFormat="1" applyFont="1" applyFill="1" applyBorder="1" applyAlignment="1" applyProtection="1">
      <alignment horizontal="center" vertical="center"/>
      <protection hidden="1"/>
    </xf>
    <xf numFmtId="177" fontId="54" fillId="0" borderId="10" xfId="0" applyNumberFormat="1" applyFont="1" applyFill="1" applyBorder="1" applyAlignment="1" applyProtection="1">
      <alignment horizontal="center" vertical="center"/>
      <protection hidden="1"/>
    </xf>
    <xf numFmtId="0" fontId="131" fillId="0" borderId="64" xfId="29" applyNumberFormat="1" applyFont="1" applyFill="1" applyBorder="1" applyAlignment="1" applyProtection="1">
      <alignment horizontal="center" vertical="center"/>
      <protection hidden="1"/>
    </xf>
    <xf numFmtId="0" fontId="0" fillId="0" borderId="171" xfId="0" applyFill="1" applyBorder="1" applyAlignment="1" applyProtection="1">
      <alignment horizontal="center" vertical="center"/>
      <protection hidden="1"/>
    </xf>
    <xf numFmtId="0" fontId="126" fillId="0" borderId="62" xfId="0" quotePrefix="1" applyNumberFormat="1" applyFont="1" applyFill="1" applyBorder="1" applyAlignment="1" applyProtection="1">
      <alignment horizontal="center" vertical="center"/>
      <protection hidden="1"/>
    </xf>
    <xf numFmtId="0" fontId="126" fillId="0" borderId="62" xfId="0" applyNumberFormat="1" applyFont="1" applyFill="1" applyBorder="1" applyAlignment="1" applyProtection="1">
      <alignment horizontal="center" vertical="center"/>
      <protection hidden="1"/>
    </xf>
    <xf numFmtId="0" fontId="131" fillId="0" borderId="64" xfId="29" applyFont="1" applyFill="1" applyBorder="1" applyAlignment="1" applyProtection="1">
      <alignment horizontal="center" vertical="center"/>
      <protection hidden="1"/>
    </xf>
    <xf numFmtId="0" fontId="131" fillId="0" borderId="56" xfId="29" applyNumberFormat="1" applyFont="1" applyFill="1" applyBorder="1" applyAlignment="1" applyProtection="1">
      <alignment horizontal="center" vertical="center"/>
      <protection hidden="1"/>
    </xf>
    <xf numFmtId="0" fontId="24" fillId="0" borderId="62" xfId="0" applyFont="1" applyFill="1" applyBorder="1" applyAlignment="1" applyProtection="1">
      <alignment vertical="center"/>
      <protection hidden="1"/>
    </xf>
    <xf numFmtId="0" fontId="24" fillId="0" borderId="26" xfId="0" applyNumberFormat="1" applyFont="1" applyFill="1" applyBorder="1" applyAlignment="1" applyProtection="1">
      <alignment horizontal="left" vertical="center"/>
      <protection hidden="1"/>
    </xf>
    <xf numFmtId="0" fontId="137" fillId="0" borderId="50" xfId="0" applyNumberFormat="1" applyFont="1" applyFill="1" applyBorder="1" applyAlignment="1" applyProtection="1">
      <alignment horizontal="left" vertical="center"/>
      <protection hidden="1"/>
    </xf>
    <xf numFmtId="0" fontId="34" fillId="0" borderId="213" xfId="0" applyFont="1" applyFill="1" applyBorder="1" applyAlignment="1" applyProtection="1">
      <alignment horizontal="center" vertical="center"/>
      <protection hidden="1"/>
    </xf>
    <xf numFmtId="192" fontId="130" fillId="0" borderId="99" xfId="0" applyNumberFormat="1" applyFont="1" applyFill="1" applyBorder="1" applyAlignment="1" applyProtection="1">
      <alignment horizontal="center" vertical="center"/>
      <protection hidden="1"/>
    </xf>
    <xf numFmtId="0" fontId="143" fillId="0" borderId="62" xfId="0" applyNumberFormat="1" applyFont="1" applyFill="1" applyBorder="1" applyAlignment="1" applyProtection="1">
      <alignment horizontal="center" vertical="center"/>
      <protection hidden="1"/>
    </xf>
    <xf numFmtId="0" fontId="142" fillId="0" borderId="26" xfId="0" applyFont="1" applyFill="1" applyBorder="1" applyProtection="1">
      <alignment vertical="center"/>
      <protection hidden="1"/>
    </xf>
    <xf numFmtId="0" fontId="0" fillId="0" borderId="100" xfId="0" applyFont="1" applyFill="1" applyBorder="1" applyProtection="1">
      <alignment vertical="center"/>
      <protection hidden="1"/>
    </xf>
    <xf numFmtId="192" fontId="130" fillId="0" borderId="17" xfId="0" applyNumberFormat="1" applyFont="1" applyFill="1" applyBorder="1" applyAlignment="1" applyProtection="1">
      <alignment horizontal="center" vertical="center"/>
      <protection hidden="1"/>
    </xf>
    <xf numFmtId="0" fontId="143" fillId="0" borderId="77" xfId="0" applyNumberFormat="1" applyFont="1" applyFill="1" applyBorder="1" applyAlignment="1" applyProtection="1">
      <alignment horizontal="center" vertical="center"/>
      <protection hidden="1"/>
    </xf>
    <xf numFmtId="192" fontId="130" fillId="0" borderId="98" xfId="0" applyNumberFormat="1" applyFont="1" applyFill="1" applyBorder="1" applyAlignment="1" applyProtection="1">
      <alignment horizontal="center" vertical="center"/>
      <protection hidden="1"/>
    </xf>
    <xf numFmtId="0" fontId="137" fillId="0" borderId="10" xfId="0" applyFont="1" applyFill="1" applyBorder="1" applyAlignment="1" applyProtection="1">
      <alignment horizontal="center" vertical="center"/>
      <protection hidden="1"/>
    </xf>
    <xf numFmtId="0" fontId="137" fillId="0" borderId="50" xfId="0" applyFont="1" applyFill="1" applyBorder="1" applyAlignment="1" applyProtection="1">
      <alignment vertical="center"/>
      <protection hidden="1"/>
    </xf>
    <xf numFmtId="0" fontId="29" fillId="27" borderId="12"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3" fontId="174" fillId="0" borderId="62" xfId="0" applyNumberFormat="1" applyFont="1" applyFill="1" applyBorder="1" applyAlignment="1" applyProtection="1">
      <alignment horizontal="left" vertical="center"/>
      <protection hidden="1"/>
    </xf>
    <xf numFmtId="0" fontId="174" fillId="0" borderId="62" xfId="0" applyFont="1" applyFill="1" applyBorder="1" applyAlignment="1" applyProtection="1">
      <alignment vertical="center"/>
      <protection hidden="1"/>
    </xf>
    <xf numFmtId="0" fontId="175" fillId="0" borderId="0" xfId="0" applyFont="1">
      <alignment vertical="center"/>
    </xf>
    <xf numFmtId="0" fontId="34" fillId="27" borderId="26" xfId="0" applyNumberFormat="1" applyFont="1" applyFill="1" applyBorder="1" applyAlignment="1" applyProtection="1">
      <alignment horizontal="left" vertical="center" shrinkToFit="1"/>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2" fontId="34" fillId="35" borderId="10" xfId="0" applyNumberFormat="1" applyFont="1" applyFill="1" applyBorder="1" applyAlignment="1" applyProtection="1">
      <alignment horizontal="center"/>
      <protection hidden="1"/>
    </xf>
    <xf numFmtId="0" fontId="0" fillId="0" borderId="0" xfId="0">
      <alignment vertical="center"/>
    </xf>
    <xf numFmtId="0" fontId="0" fillId="66" borderId="0" xfId="0" applyFill="1">
      <alignment vertical="center"/>
    </xf>
    <xf numFmtId="0" fontId="126" fillId="27" borderId="62" xfId="0" applyFont="1" applyFill="1" applyBorder="1" applyAlignment="1" applyProtection="1">
      <alignment horizontal="center" vertical="center"/>
      <protection hidden="1"/>
    </xf>
    <xf numFmtId="0" fontId="176" fillId="0" borderId="0" xfId="0" applyFont="1">
      <alignment vertical="center"/>
    </xf>
    <xf numFmtId="192" fontId="126" fillId="31" borderId="10" xfId="35" applyNumberFormat="1" applyFont="1" applyFill="1" applyBorder="1" applyAlignment="1" applyProtection="1">
      <alignment horizontal="center" vertical="center"/>
      <protection hidden="1"/>
    </xf>
    <xf numFmtId="192" fontId="126" fillId="31" borderId="27" xfId="35" applyNumberFormat="1" applyFont="1" applyFill="1" applyBorder="1" applyAlignment="1" applyProtection="1">
      <alignment horizontal="center" vertical="center"/>
      <protection hidden="1"/>
    </xf>
    <xf numFmtId="192" fontId="126" fillId="27" borderId="10" xfId="35" applyNumberFormat="1" applyFont="1" applyFill="1" applyBorder="1" applyAlignment="1" applyProtection="1">
      <alignment horizontal="center"/>
      <protection hidden="1"/>
    </xf>
    <xf numFmtId="192" fontId="126" fillId="27" borderId="27" xfId="35" applyNumberFormat="1" applyFont="1" applyFill="1" applyBorder="1" applyAlignment="1" applyProtection="1">
      <alignment horizontal="center"/>
      <protection hidden="1"/>
    </xf>
    <xf numFmtId="192" fontId="34" fillId="27" borderId="10" xfId="35" applyNumberFormat="1" applyFont="1" applyFill="1" applyBorder="1" applyAlignment="1" applyProtection="1">
      <alignment horizontal="center" vertical="center"/>
      <protection hidden="1"/>
    </xf>
    <xf numFmtId="192" fontId="126" fillId="27" borderId="10" xfId="35" applyNumberFormat="1" applyFont="1" applyFill="1" applyBorder="1" applyAlignment="1" applyProtection="1">
      <alignment horizontal="center" vertical="center"/>
      <protection hidden="1"/>
    </xf>
    <xf numFmtId="192" fontId="126" fillId="27" borderId="27" xfId="35" applyNumberFormat="1" applyFont="1" applyFill="1" applyBorder="1" applyAlignment="1" applyProtection="1">
      <alignment horizontal="center" vertical="center"/>
      <protection hidden="1"/>
    </xf>
    <xf numFmtId="192" fontId="34" fillId="27" borderId="10" xfId="35" applyNumberFormat="1" applyFont="1" applyFill="1" applyBorder="1" applyAlignment="1" applyProtection="1">
      <alignment horizontal="center"/>
      <protection hidden="1"/>
    </xf>
    <xf numFmtId="192" fontId="126" fillId="31" borderId="27" xfId="0" applyNumberFormat="1" applyFont="1" applyFill="1" applyBorder="1" applyAlignment="1" applyProtection="1">
      <alignment horizontal="center"/>
      <protection hidden="1"/>
    </xf>
    <xf numFmtId="192" fontId="126" fillId="31" borderId="10" xfId="0" applyNumberFormat="1" applyFont="1" applyFill="1" applyBorder="1" applyAlignment="1" applyProtection="1">
      <alignment horizontal="center"/>
      <protection hidden="1"/>
    </xf>
    <xf numFmtId="192" fontId="177" fillId="31" borderId="10" xfId="35" applyNumberFormat="1" applyFont="1" applyFill="1" applyBorder="1" applyAlignment="1" applyProtection="1">
      <alignment horizontal="center" vertical="center"/>
      <protection hidden="1"/>
    </xf>
    <xf numFmtId="192" fontId="177" fillId="31" borderId="27" xfId="35" applyNumberFormat="1" applyFont="1" applyFill="1" applyBorder="1" applyAlignment="1" applyProtection="1">
      <alignment horizontal="center" vertical="center"/>
      <protection hidden="1"/>
    </xf>
    <xf numFmtId="192" fontId="177" fillId="27" borderId="10" xfId="35" applyNumberFormat="1" applyFont="1" applyFill="1" applyBorder="1" applyAlignment="1" applyProtection="1">
      <alignment horizontal="center"/>
      <protection hidden="1"/>
    </xf>
    <xf numFmtId="192" fontId="177" fillId="54" borderId="26" xfId="35" applyNumberFormat="1" applyFont="1" applyFill="1" applyBorder="1" applyAlignment="1" applyProtection="1">
      <alignment horizontal="center" vertical="center"/>
      <protection hidden="1"/>
    </xf>
    <xf numFmtId="192" fontId="177" fillId="27" borderId="27" xfId="35" applyNumberFormat="1" applyFont="1" applyFill="1" applyBorder="1" applyAlignment="1" applyProtection="1">
      <alignment horizontal="center"/>
      <protection hidden="1"/>
    </xf>
    <xf numFmtId="192" fontId="178" fillId="27" borderId="10" xfId="35" applyNumberFormat="1" applyFont="1" applyFill="1" applyBorder="1" applyAlignment="1" applyProtection="1">
      <alignment horizontal="center" vertical="center"/>
      <protection hidden="1"/>
    </xf>
    <xf numFmtId="192" fontId="178" fillId="54" borderId="10" xfId="35" applyNumberFormat="1" applyFont="1" applyFill="1" applyBorder="1" applyAlignment="1" applyProtection="1">
      <alignment horizontal="center" vertical="center"/>
      <protection hidden="1"/>
    </xf>
    <xf numFmtId="192" fontId="178" fillId="27" borderId="27" xfId="35" applyNumberFormat="1" applyFont="1" applyFill="1" applyBorder="1" applyAlignment="1" applyProtection="1">
      <alignment horizontal="center" vertical="center"/>
      <protection hidden="1"/>
    </xf>
    <xf numFmtId="192" fontId="178" fillId="54" borderId="26" xfId="35" applyNumberFormat="1" applyFont="1" applyFill="1" applyBorder="1" applyAlignment="1" applyProtection="1">
      <alignment horizontal="center" vertical="center"/>
      <protection hidden="1"/>
    </xf>
    <xf numFmtId="192" fontId="177" fillId="54" borderId="26" xfId="0" applyNumberFormat="1" applyFont="1" applyFill="1" applyBorder="1" applyAlignment="1" applyProtection="1">
      <alignment horizontal="center" vertical="center"/>
      <protection hidden="1"/>
    </xf>
    <xf numFmtId="192" fontId="178" fillId="54" borderId="26" xfId="0" applyNumberFormat="1" applyFont="1" applyFill="1" applyBorder="1" applyAlignment="1" applyProtection="1">
      <alignment horizontal="center" vertical="center"/>
      <protection hidden="1"/>
    </xf>
    <xf numFmtId="192" fontId="178" fillId="27" borderId="10" xfId="0" applyNumberFormat="1" applyFont="1" applyFill="1" applyBorder="1" applyAlignment="1" applyProtection="1">
      <alignment horizontal="center"/>
      <protection hidden="1"/>
    </xf>
    <xf numFmtId="192" fontId="178" fillId="42" borderId="10" xfId="35" applyNumberFormat="1" applyFont="1" applyFill="1" applyBorder="1" applyAlignment="1" applyProtection="1">
      <alignment horizontal="center" vertical="center"/>
      <protection hidden="1"/>
    </xf>
    <xf numFmtId="192" fontId="178" fillId="56" borderId="26" xfId="35" applyNumberFormat="1" applyFont="1" applyFill="1" applyBorder="1" applyAlignment="1" applyProtection="1">
      <alignment horizontal="center" vertical="center"/>
      <protection hidden="1"/>
    </xf>
    <xf numFmtId="192" fontId="178" fillId="42" borderId="27" xfId="35" applyNumberFormat="1" applyFont="1" applyFill="1" applyBorder="1" applyAlignment="1" applyProtection="1">
      <alignment horizontal="center" vertical="center"/>
      <protection hidden="1"/>
    </xf>
    <xf numFmtId="192" fontId="177" fillId="27" borderId="10" xfId="35" applyNumberFormat="1" applyFont="1" applyFill="1" applyBorder="1" applyAlignment="1" applyProtection="1">
      <alignment horizontal="center" vertical="center"/>
      <protection hidden="1"/>
    </xf>
    <xf numFmtId="192" fontId="177" fillId="27" borderId="27" xfId="35" applyNumberFormat="1" applyFont="1" applyFill="1" applyBorder="1" applyAlignment="1" applyProtection="1">
      <alignment horizontal="center" vertical="center"/>
      <protection hidden="1"/>
    </xf>
    <xf numFmtId="192" fontId="178" fillId="27" borderId="26" xfId="35" applyNumberFormat="1" applyFont="1" applyFill="1" applyBorder="1" applyAlignment="1" applyProtection="1">
      <alignment horizontal="center" vertical="center"/>
      <protection hidden="1"/>
    </xf>
    <xf numFmtId="192" fontId="178" fillId="27" borderId="26" xfId="0" applyNumberFormat="1" applyFont="1" applyFill="1" applyBorder="1" applyAlignment="1" applyProtection="1">
      <alignment horizontal="center" vertical="center"/>
      <protection hidden="1"/>
    </xf>
    <xf numFmtId="192" fontId="177" fillId="27" borderId="26" xfId="35" applyNumberFormat="1" applyFont="1" applyFill="1" applyBorder="1" applyAlignment="1" applyProtection="1">
      <alignment horizontal="center"/>
      <protection hidden="1"/>
    </xf>
    <xf numFmtId="192" fontId="178" fillId="27" borderId="10" xfId="35" applyNumberFormat="1" applyFont="1" applyFill="1" applyBorder="1" applyAlignment="1" applyProtection="1">
      <alignment horizontal="center"/>
      <protection hidden="1"/>
    </xf>
    <xf numFmtId="192" fontId="178" fillId="27" borderId="27" xfId="35" applyNumberFormat="1" applyFont="1" applyFill="1" applyBorder="1" applyAlignment="1" applyProtection="1">
      <alignment horizontal="center"/>
      <protection hidden="1"/>
    </xf>
    <xf numFmtId="192" fontId="177" fillId="35" borderId="10" xfId="35" applyNumberFormat="1" applyFont="1" applyFill="1" applyBorder="1" applyAlignment="1" applyProtection="1">
      <alignment horizontal="center" vertical="top"/>
      <protection hidden="1"/>
    </xf>
    <xf numFmtId="192" fontId="177" fillId="35" borderId="26" xfId="35" applyNumberFormat="1" applyFont="1" applyFill="1" applyBorder="1" applyAlignment="1" applyProtection="1">
      <alignment horizontal="center" vertical="top"/>
      <protection hidden="1"/>
    </xf>
    <xf numFmtId="192" fontId="177" fillId="35" borderId="27" xfId="0" applyNumberFormat="1" applyFont="1" applyFill="1" applyBorder="1" applyAlignment="1" applyProtection="1">
      <alignment horizontal="center" vertical="top"/>
      <protection hidden="1"/>
    </xf>
    <xf numFmtId="192" fontId="177" fillId="35" borderId="10" xfId="0" applyNumberFormat="1" applyFont="1" applyFill="1" applyBorder="1" applyAlignment="1" applyProtection="1">
      <alignment horizontal="center" vertical="top"/>
      <protection hidden="1"/>
    </xf>
    <xf numFmtId="192" fontId="177" fillId="31" borderId="27" xfId="0" applyNumberFormat="1" applyFont="1" applyFill="1" applyBorder="1" applyAlignment="1" applyProtection="1">
      <alignment horizontal="center"/>
      <protection hidden="1"/>
    </xf>
    <xf numFmtId="192" fontId="177" fillId="31" borderId="10" xfId="0" applyNumberFormat="1" applyFont="1" applyFill="1" applyBorder="1" applyAlignment="1" applyProtection="1">
      <alignment horizontal="center"/>
      <protection hidden="1"/>
    </xf>
    <xf numFmtId="192" fontId="177" fillId="27" borderId="27" xfId="0" applyNumberFormat="1" applyFont="1" applyFill="1" applyBorder="1" applyAlignment="1" applyProtection="1">
      <alignment horizontal="center"/>
      <protection hidden="1"/>
    </xf>
    <xf numFmtId="192" fontId="177" fillId="27" borderId="10" xfId="0" applyNumberFormat="1" applyFont="1" applyFill="1" applyBorder="1" applyAlignment="1" applyProtection="1">
      <alignment horizontal="center"/>
      <protection hidden="1"/>
    </xf>
    <xf numFmtId="192" fontId="178" fillId="27" borderId="27" xfId="0" applyNumberFormat="1" applyFont="1" applyFill="1" applyBorder="1" applyAlignment="1" applyProtection="1">
      <alignment horizontal="center"/>
      <protection hidden="1"/>
    </xf>
    <xf numFmtId="201" fontId="30" fillId="0" borderId="92" xfId="0" applyNumberFormat="1" applyFont="1" applyFill="1" applyBorder="1" applyAlignment="1" applyProtection="1">
      <alignment horizontal="center" vertical="center"/>
      <protection hidden="1"/>
    </xf>
    <xf numFmtId="201" fontId="30" fillId="0" borderId="115" xfId="0" applyNumberFormat="1" applyFont="1" applyFill="1" applyBorder="1" applyAlignment="1" applyProtection="1">
      <alignment horizontal="center" vertical="center"/>
      <protection hidden="1"/>
    </xf>
    <xf numFmtId="0" fontId="29" fillId="27" borderId="50" xfId="0" applyFont="1" applyFill="1" applyBorder="1" applyAlignment="1" applyProtection="1">
      <alignment horizontal="center" vertical="center"/>
    </xf>
    <xf numFmtId="0" fontId="29" fillId="27" borderId="164" xfId="0" applyFont="1" applyFill="1" applyBorder="1" applyAlignment="1" applyProtection="1">
      <alignment vertical="center" wrapText="1"/>
      <protection hidden="1"/>
    </xf>
    <xf numFmtId="0" fontId="7" fillId="27" borderId="163" xfId="0" applyFont="1" applyFill="1" applyBorder="1" applyAlignment="1">
      <alignment vertical="center"/>
    </xf>
    <xf numFmtId="0" fontId="7" fillId="27" borderId="164" xfId="0" applyFont="1" applyFill="1" applyBorder="1" applyAlignment="1">
      <alignment vertical="center"/>
    </xf>
    <xf numFmtId="0" fontId="29" fillId="27" borderId="199" xfId="0" applyFont="1" applyFill="1" applyBorder="1" applyAlignment="1" applyProtection="1">
      <alignment vertical="center"/>
      <protection hidden="1"/>
    </xf>
    <xf numFmtId="0" fontId="29" fillId="27" borderId="179" xfId="0" applyFont="1" applyFill="1" applyBorder="1" applyAlignment="1" applyProtection="1">
      <alignment vertical="center" wrapText="1"/>
      <protection hidden="1"/>
    </xf>
    <xf numFmtId="0" fontId="29" fillId="27" borderId="179" xfId="0" applyFont="1" applyFill="1" applyBorder="1" applyAlignment="1" applyProtection="1">
      <alignment vertical="center"/>
      <protection hidden="1"/>
    </xf>
    <xf numFmtId="0" fontId="29" fillId="27" borderId="180" xfId="0" applyFont="1" applyFill="1" applyBorder="1" applyAlignment="1" applyProtection="1">
      <alignment vertical="center" wrapText="1"/>
      <protection hidden="1"/>
    </xf>
    <xf numFmtId="0" fontId="41" fillId="27" borderId="24" xfId="0" applyFont="1" applyFill="1" applyBorder="1" applyAlignment="1" applyProtection="1">
      <protection hidden="1"/>
    </xf>
    <xf numFmtId="0" fontId="169" fillId="27" borderId="0" xfId="0" applyFont="1" applyFill="1" applyBorder="1" applyAlignment="1" applyProtection="1">
      <alignment horizontal="left" vertical="center"/>
      <protection hidden="1"/>
    </xf>
    <xf numFmtId="0" fontId="34" fillId="0" borderId="89" xfId="0" applyFont="1" applyFill="1" applyBorder="1" applyAlignment="1" applyProtection="1">
      <alignment vertical="center"/>
      <protection hidden="1"/>
    </xf>
    <xf numFmtId="2" fontId="35" fillId="0" borderId="53" xfId="0" applyNumberFormat="1" applyFont="1" applyFill="1" applyBorder="1" applyAlignment="1" applyProtection="1">
      <alignment horizontal="left" vertical="center"/>
      <protection hidden="1"/>
    </xf>
    <xf numFmtId="182" fontId="34" fillId="0" borderId="53" xfId="0" applyNumberFormat="1" applyFont="1" applyFill="1" applyBorder="1" applyAlignment="1" applyProtection="1">
      <alignment horizontal="left" vertical="center"/>
      <protection hidden="1"/>
    </xf>
    <xf numFmtId="0" fontId="57" fillId="0" borderId="90" xfId="0" applyFont="1" applyFill="1" applyBorder="1" applyProtection="1">
      <alignment vertical="center"/>
      <protection hidden="1"/>
    </xf>
    <xf numFmtId="0" fontId="34" fillId="0" borderId="89" xfId="0" applyFont="1" applyFill="1" applyBorder="1" applyAlignment="1" applyProtection="1">
      <alignment horizontal="left" vertical="center"/>
      <protection hidden="1"/>
    </xf>
    <xf numFmtId="37" fontId="35" fillId="0" borderId="53" xfId="0" applyNumberFormat="1" applyFont="1" applyFill="1" applyBorder="1" applyAlignment="1" applyProtection="1">
      <alignment horizontal="left" vertical="center"/>
      <protection hidden="1"/>
    </xf>
    <xf numFmtId="0" fontId="57" fillId="0" borderId="235" xfId="0" applyFont="1" applyFill="1" applyBorder="1" applyProtection="1">
      <alignment vertical="center"/>
      <protection hidden="1"/>
    </xf>
    <xf numFmtId="3" fontId="34" fillId="0" borderId="53" xfId="0" applyNumberFormat="1" applyFont="1" applyFill="1" applyBorder="1" applyAlignment="1" applyProtection="1">
      <alignment horizontal="right" vertical="center"/>
      <protection hidden="1"/>
    </xf>
    <xf numFmtId="37" fontId="29" fillId="0" borderId="79" xfId="0" applyNumberFormat="1" applyFont="1" applyFill="1" applyBorder="1" applyAlignment="1" applyProtection="1">
      <alignment horizontal="left" vertical="center"/>
      <protection hidden="1"/>
    </xf>
    <xf numFmtId="0" fontId="179" fillId="27" borderId="64" xfId="29" applyFont="1" applyFill="1" applyBorder="1" applyAlignment="1" applyProtection="1">
      <alignment horizontal="center" vertical="center"/>
      <protection hidden="1"/>
    </xf>
    <xf numFmtId="0" fontId="168" fillId="27" borderId="10" xfId="0" applyFont="1" applyFill="1" applyBorder="1" applyAlignment="1" applyProtection="1">
      <alignment horizontal="center" vertical="center"/>
      <protection hidden="1"/>
    </xf>
    <xf numFmtId="0" fontId="168" fillId="27" borderId="50" xfId="0" applyFont="1" applyFill="1" applyBorder="1" applyAlignment="1" applyProtection="1">
      <alignment vertical="center"/>
      <protection hidden="1"/>
    </xf>
    <xf numFmtId="0" fontId="180" fillId="27" borderId="82" xfId="0" applyFont="1" applyFill="1" applyBorder="1" applyAlignment="1" applyProtection="1">
      <alignment vertical="center"/>
      <protection hidden="1"/>
    </xf>
    <xf numFmtId="0" fontId="181" fillId="27" borderId="26" xfId="0" applyFont="1" applyFill="1" applyBorder="1" applyAlignment="1" applyProtection="1">
      <alignment vertical="center"/>
      <protection hidden="1"/>
    </xf>
    <xf numFmtId="0" fontId="168" fillId="27" borderId="50" xfId="0" applyNumberFormat="1" applyFont="1" applyFill="1" applyBorder="1" applyAlignment="1" applyProtection="1">
      <alignment horizontal="left" vertical="center"/>
      <protection hidden="1"/>
    </xf>
    <xf numFmtId="0" fontId="181" fillId="27" borderId="52" xfId="0" applyFont="1" applyFill="1" applyBorder="1" applyAlignment="1" applyProtection="1">
      <alignmen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46" fillId="27" borderId="50" xfId="0" applyFont="1" applyFill="1" applyBorder="1" applyAlignment="1" applyProtection="1">
      <alignment horizontal="center" vertical="center" wrapText="1"/>
      <protection hidden="1"/>
    </xf>
    <xf numFmtId="0" fontId="29" fillId="27" borderId="56" xfId="0" applyFont="1" applyFill="1" applyBorder="1" applyAlignment="1" applyProtection="1">
      <alignment horizontal="center" vertical="center"/>
      <protection hidden="1"/>
    </xf>
    <xf numFmtId="0" fontId="126" fillId="27" borderId="0" xfId="0" quotePrefix="1" applyFont="1" applyFill="1" applyBorder="1" applyProtection="1">
      <alignment vertical="center"/>
    </xf>
    <xf numFmtId="0" fontId="27" fillId="27" borderId="12" xfId="0" applyNumberFormat="1" applyFont="1" applyFill="1" applyBorder="1" applyAlignment="1" applyProtection="1">
      <alignment horizontal="centerContinuous" vertical="center"/>
      <protection hidden="1"/>
    </xf>
    <xf numFmtId="0" fontId="27" fillId="27" borderId="161" xfId="0" applyNumberFormat="1" applyFont="1" applyFill="1" applyBorder="1" applyAlignment="1" applyProtection="1">
      <alignment horizontal="center" vertical="center"/>
      <protection hidden="1"/>
    </xf>
    <xf numFmtId="194" fontId="27" fillId="31" borderId="10" xfId="0" applyNumberFormat="1" applyFont="1" applyFill="1" applyBorder="1" applyAlignment="1" applyProtection="1">
      <alignment horizontal="center" vertical="center"/>
      <protection hidden="1"/>
    </xf>
    <xf numFmtId="194" fontId="27" fillId="31" borderId="26" xfId="0" applyNumberFormat="1" applyFont="1" applyFill="1" applyBorder="1" applyAlignment="1" applyProtection="1">
      <alignment horizontal="center" vertical="center"/>
      <protection hidden="1"/>
    </xf>
    <xf numFmtId="194" fontId="34" fillId="27" borderId="144" xfId="0" applyNumberFormat="1" applyFont="1" applyFill="1" applyBorder="1" applyAlignment="1" applyProtection="1">
      <alignment horizontal="center" vertical="center"/>
    </xf>
    <xf numFmtId="194" fontId="34" fillId="27" borderId="144" xfId="0" applyNumberFormat="1" applyFont="1" applyFill="1" applyBorder="1" applyAlignment="1" applyProtection="1">
      <alignment horizontal="left" vertical="center"/>
    </xf>
    <xf numFmtId="0" fontId="29" fillId="27" borderId="27" xfId="0" applyFont="1" applyFill="1" applyBorder="1" applyAlignment="1" applyProtection="1">
      <alignment horizontal="center" vertical="center"/>
      <protection hidden="1"/>
    </xf>
    <xf numFmtId="0" fontId="29" fillId="27" borderId="10" xfId="0" applyFont="1" applyFill="1" applyBorder="1" applyAlignment="1" applyProtection="1">
      <alignment horizontal="center" vertical="center"/>
      <protection locked="0"/>
    </xf>
    <xf numFmtId="192" fontId="34" fillId="27" borderId="26" xfId="35" applyNumberFormat="1" applyFont="1" applyFill="1" applyBorder="1" applyAlignment="1" applyProtection="1">
      <alignment horizontal="center" vertical="center"/>
      <protection hidden="1"/>
    </xf>
    <xf numFmtId="183" fontId="37" fillId="51" borderId="0" xfId="0" applyNumberFormat="1" applyFont="1" applyFill="1" applyBorder="1" applyAlignment="1" applyProtection="1">
      <alignment horizontal="center" vertical="center"/>
      <protection hidden="1"/>
    </xf>
    <xf numFmtId="183" fontId="30" fillId="51" borderId="0" xfId="0" applyNumberFormat="1" applyFont="1" applyFill="1" applyBorder="1" applyAlignment="1" applyProtection="1">
      <alignment horizontal="center" vertical="center"/>
      <protection hidden="1"/>
    </xf>
    <xf numFmtId="183" fontId="30" fillId="51" borderId="57" xfId="0" applyNumberFormat="1" applyFont="1" applyFill="1" applyBorder="1" applyAlignment="1" applyProtection="1">
      <alignment horizontal="center" vertical="center"/>
      <protection hidden="1"/>
    </xf>
    <xf numFmtId="183" fontId="37" fillId="51" borderId="53" xfId="0" applyNumberFormat="1" applyFont="1" applyFill="1" applyBorder="1" applyAlignment="1" applyProtection="1">
      <alignment horizontal="center" vertical="center"/>
      <protection hidden="1"/>
    </xf>
    <xf numFmtId="183" fontId="30" fillId="51" borderId="93" xfId="0" applyNumberFormat="1" applyFont="1" applyFill="1" applyBorder="1" applyAlignment="1" applyProtection="1">
      <alignment horizontal="center" vertical="center"/>
      <protection hidden="1"/>
    </xf>
    <xf numFmtId="183" fontId="30" fillId="51" borderId="66" xfId="0" applyNumberFormat="1" applyFont="1" applyFill="1" applyBorder="1" applyAlignment="1" applyProtection="1">
      <alignment horizontal="center" vertical="center"/>
      <protection hidden="1"/>
    </xf>
    <xf numFmtId="183" fontId="37" fillId="51" borderId="50" xfId="0" applyNumberFormat="1" applyFont="1" applyFill="1" applyBorder="1" applyAlignment="1" applyProtection="1">
      <alignment horizontal="center" vertical="center"/>
      <protection hidden="1"/>
    </xf>
    <xf numFmtId="183" fontId="37" fillId="51" borderId="93" xfId="0" applyNumberFormat="1" applyFont="1" applyFill="1" applyBorder="1" applyAlignment="1" applyProtection="1">
      <alignment horizontal="center" vertical="center"/>
      <protection hidden="1"/>
    </xf>
    <xf numFmtId="183" fontId="37" fillId="51" borderId="110" xfId="0" applyNumberFormat="1" applyFont="1" applyFill="1" applyBorder="1" applyAlignment="1" applyProtection="1">
      <alignment horizontal="center" vertical="center"/>
      <protection hidden="1"/>
    </xf>
    <xf numFmtId="183" fontId="30" fillId="51" borderId="97" xfId="0" applyNumberFormat="1" applyFont="1" applyFill="1" applyBorder="1" applyAlignment="1" applyProtection="1">
      <alignment horizontal="center" vertical="center"/>
      <protection hidden="1"/>
    </xf>
    <xf numFmtId="183" fontId="37" fillId="51" borderId="135" xfId="0" applyNumberFormat="1" applyFont="1" applyFill="1" applyBorder="1" applyAlignment="1" applyProtection="1">
      <alignment horizontal="center" vertical="center"/>
      <protection hidden="1"/>
    </xf>
    <xf numFmtId="183" fontId="37" fillId="51" borderId="97" xfId="0" applyNumberFormat="1" applyFont="1" applyFill="1" applyBorder="1" applyAlignment="1" applyProtection="1">
      <alignment horizontal="center" vertical="center"/>
      <protection hidden="1"/>
    </xf>
    <xf numFmtId="40" fontId="34" fillId="35" borderId="27" xfId="0" applyNumberFormat="1" applyFont="1" applyFill="1" applyBorder="1" applyAlignment="1" applyProtection="1">
      <alignment horizontal="center" vertical="top"/>
      <protection hidden="1"/>
    </xf>
    <xf numFmtId="40" fontId="34" fillId="35" borderId="10" xfId="0" applyNumberFormat="1" applyFont="1" applyFill="1" applyBorder="1" applyAlignment="1" applyProtection="1">
      <alignment horizontal="center" vertical="top"/>
      <protection hidden="1"/>
    </xf>
    <xf numFmtId="40" fontId="126" fillId="31" borderId="10" xfId="35" applyNumberFormat="1" applyFont="1" applyFill="1" applyBorder="1" applyAlignment="1" applyProtection="1">
      <alignment horizontal="center" vertical="center"/>
      <protection hidden="1"/>
    </xf>
    <xf numFmtId="40" fontId="126" fillId="52" borderId="10" xfId="35" applyNumberFormat="1" applyFont="1" applyFill="1" applyBorder="1" applyAlignment="1" applyProtection="1">
      <alignment horizontal="center" vertical="center"/>
      <protection hidden="1"/>
    </xf>
    <xf numFmtId="40" fontId="126" fillId="31" borderId="27" xfId="35" applyNumberFormat="1" applyFont="1" applyFill="1" applyBorder="1" applyAlignment="1" applyProtection="1">
      <alignment horizontal="center" vertical="center"/>
      <protection hidden="1"/>
    </xf>
    <xf numFmtId="40" fontId="126" fillId="27" borderId="10" xfId="35" applyNumberFormat="1" applyFont="1" applyFill="1" applyBorder="1" applyAlignment="1" applyProtection="1">
      <alignment horizontal="center"/>
      <protection hidden="1"/>
    </xf>
    <xf numFmtId="40" fontId="126" fillId="27" borderId="26" xfId="35" applyNumberFormat="1" applyFont="1" applyFill="1" applyBorder="1" applyAlignment="1" applyProtection="1">
      <alignment horizontal="center" vertical="center"/>
      <protection hidden="1"/>
    </xf>
    <xf numFmtId="40" fontId="126" fillId="27" borderId="27" xfId="35" applyNumberFormat="1" applyFont="1" applyFill="1" applyBorder="1" applyAlignment="1" applyProtection="1">
      <alignment horizontal="center"/>
      <protection hidden="1"/>
    </xf>
    <xf numFmtId="40" fontId="34" fillId="27" borderId="10" xfId="35" applyNumberFormat="1" applyFont="1" applyFill="1" applyBorder="1" applyAlignment="1" applyProtection="1">
      <alignment horizontal="center" vertical="center"/>
      <protection hidden="1"/>
    </xf>
    <xf numFmtId="40" fontId="34" fillId="27" borderId="27" xfId="35" applyNumberFormat="1" applyFont="1" applyFill="1" applyBorder="1" applyAlignment="1" applyProtection="1">
      <alignment horizontal="center" vertical="center"/>
      <protection hidden="1"/>
    </xf>
    <xf numFmtId="40" fontId="34" fillId="27" borderId="26" xfId="35" applyNumberFormat="1" applyFont="1" applyFill="1" applyBorder="1" applyAlignment="1" applyProtection="1">
      <alignment horizontal="center" vertical="center"/>
      <protection hidden="1"/>
    </xf>
    <xf numFmtId="40" fontId="126" fillId="27" borderId="26" xfId="0" applyNumberFormat="1" applyFont="1" applyFill="1" applyBorder="1" applyAlignment="1" applyProtection="1">
      <alignment horizontal="center" vertical="center"/>
      <protection hidden="1"/>
    </xf>
    <xf numFmtId="40" fontId="34" fillId="27" borderId="26" xfId="0" applyNumberFormat="1" applyFont="1" applyFill="1" applyBorder="1" applyAlignment="1" applyProtection="1">
      <alignment horizontal="center" vertical="center"/>
      <protection hidden="1"/>
    </xf>
    <xf numFmtId="40" fontId="34" fillId="27" borderId="10" xfId="0" applyNumberFormat="1" applyFont="1" applyFill="1" applyBorder="1" applyAlignment="1" applyProtection="1">
      <alignment horizontal="center"/>
      <protection hidden="1"/>
    </xf>
    <xf numFmtId="40" fontId="34" fillId="42" borderId="10" xfId="35" applyNumberFormat="1" applyFont="1" applyFill="1" applyBorder="1" applyAlignment="1" applyProtection="1">
      <alignment horizontal="center" vertical="center"/>
      <protection hidden="1"/>
    </xf>
    <xf numFmtId="40" fontId="34" fillId="42" borderId="26" xfId="35" applyNumberFormat="1" applyFont="1" applyFill="1" applyBorder="1" applyAlignment="1" applyProtection="1">
      <alignment horizontal="center" vertical="center"/>
      <protection hidden="1"/>
    </xf>
    <xf numFmtId="40" fontId="34" fillId="42" borderId="27" xfId="35" applyNumberFormat="1" applyFont="1" applyFill="1" applyBorder="1" applyAlignment="1" applyProtection="1">
      <alignment horizontal="center" vertical="center"/>
      <protection hidden="1"/>
    </xf>
    <xf numFmtId="40" fontId="126" fillId="27" borderId="10" xfId="35" applyNumberFormat="1" applyFont="1" applyFill="1" applyBorder="1" applyAlignment="1" applyProtection="1">
      <alignment horizontal="center" vertical="center"/>
      <protection hidden="1"/>
    </xf>
    <xf numFmtId="40" fontId="126" fillId="27" borderId="27" xfId="35" applyNumberFormat="1" applyFont="1" applyFill="1" applyBorder="1" applyAlignment="1" applyProtection="1">
      <alignment horizontal="center" vertical="center"/>
      <protection hidden="1"/>
    </xf>
    <xf numFmtId="40" fontId="126" fillId="27" borderId="26" xfId="35" applyNumberFormat="1" applyFont="1" applyFill="1" applyBorder="1" applyAlignment="1" applyProtection="1">
      <alignment horizontal="center"/>
      <protection hidden="1"/>
    </xf>
    <xf numFmtId="40" fontId="34" fillId="27" borderId="10" xfId="35" applyNumberFormat="1" applyFont="1" applyFill="1" applyBorder="1" applyAlignment="1" applyProtection="1">
      <alignment horizontal="center"/>
      <protection hidden="1"/>
    </xf>
    <xf numFmtId="40" fontId="34" fillId="27" borderId="27" xfId="35" applyNumberFormat="1" applyFont="1" applyFill="1" applyBorder="1" applyAlignment="1" applyProtection="1">
      <alignment horizontal="center"/>
      <protection hidden="1"/>
    </xf>
    <xf numFmtId="40" fontId="126" fillId="35" borderId="27" xfId="0" applyNumberFormat="1" applyFont="1" applyFill="1" applyBorder="1" applyAlignment="1" applyProtection="1">
      <alignment horizontal="center" vertical="top"/>
      <protection hidden="1"/>
    </xf>
    <xf numFmtId="40" fontId="126" fillId="35" borderId="10" xfId="0" applyNumberFormat="1" applyFont="1" applyFill="1" applyBorder="1" applyAlignment="1" applyProtection="1">
      <alignment horizontal="center" vertical="top"/>
      <protection hidden="1"/>
    </xf>
    <xf numFmtId="40" fontId="126" fillId="31" borderId="26" xfId="35" applyNumberFormat="1" applyFont="1" applyFill="1" applyBorder="1" applyAlignment="1" applyProtection="1">
      <alignment horizontal="center" vertical="center"/>
      <protection hidden="1"/>
    </xf>
    <xf numFmtId="40" fontId="126" fillId="31" borderId="27" xfId="0" applyNumberFormat="1" applyFont="1" applyFill="1" applyBorder="1" applyAlignment="1" applyProtection="1">
      <alignment horizontal="center"/>
      <protection hidden="1"/>
    </xf>
    <xf numFmtId="40" fontId="126" fillId="31" borderId="10" xfId="0" applyNumberFormat="1" applyFont="1" applyFill="1" applyBorder="1" applyAlignment="1" applyProtection="1">
      <alignment horizontal="center"/>
      <protection hidden="1"/>
    </xf>
    <xf numFmtId="40" fontId="126" fillId="27" borderId="27" xfId="0" applyNumberFormat="1" applyFont="1" applyFill="1" applyBorder="1" applyAlignment="1" applyProtection="1">
      <alignment horizontal="center"/>
      <protection hidden="1"/>
    </xf>
    <xf numFmtId="40" fontId="126" fillId="27" borderId="10" xfId="0" applyNumberFormat="1" applyFont="1" applyFill="1" applyBorder="1" applyAlignment="1" applyProtection="1">
      <alignment horizontal="center"/>
      <protection hidden="1"/>
    </xf>
    <xf numFmtId="40" fontId="34" fillId="27" borderId="27" xfId="0" applyNumberFormat="1" applyFont="1" applyFill="1" applyBorder="1" applyAlignment="1" applyProtection="1">
      <alignment horizontal="center"/>
      <protection hidden="1"/>
    </xf>
    <xf numFmtId="0" fontId="126" fillId="64" borderId="62" xfId="0" applyFont="1" applyFill="1" applyBorder="1" applyAlignment="1" applyProtection="1">
      <alignment horizontal="center"/>
      <protection hidden="1"/>
    </xf>
    <xf numFmtId="0" fontId="131" fillId="64" borderId="64" xfId="29" applyFont="1" applyFill="1" applyBorder="1" applyAlignment="1" applyProtection="1">
      <alignment horizontal="center" vertical="center"/>
      <protection hidden="1"/>
    </xf>
    <xf numFmtId="0" fontId="34" fillId="64" borderId="79" xfId="0" applyFont="1" applyFill="1" applyBorder="1" applyAlignment="1" applyProtection="1">
      <alignment vertical="center"/>
      <protection hidden="1"/>
    </xf>
    <xf numFmtId="0" fontId="137" fillId="64" borderId="10" xfId="0" applyFont="1" applyFill="1" applyBorder="1" applyAlignment="1" applyProtection="1">
      <alignment horizontal="center" vertical="center"/>
      <protection hidden="1"/>
    </xf>
    <xf numFmtId="0" fontId="137" fillId="64" borderId="57" xfId="0" applyFont="1" applyFill="1" applyBorder="1" applyAlignment="1" applyProtection="1">
      <alignment vertical="center"/>
      <protection hidden="1"/>
    </xf>
    <xf numFmtId="0" fontId="27" fillId="27" borderId="50" xfId="0" applyFont="1" applyFill="1" applyBorder="1" applyAlignment="1" applyProtection="1">
      <alignment vertical="center" wrapText="1"/>
      <protection hidden="1"/>
    </xf>
    <xf numFmtId="0" fontId="24" fillId="51" borderId="92" xfId="0" applyNumberFormat="1" applyFont="1" applyFill="1" applyBorder="1" applyAlignment="1" applyProtection="1">
      <alignment horizontal="center" vertical="center"/>
      <protection locked="0" hidden="1"/>
    </xf>
    <xf numFmtId="0" fontId="24" fillId="51" borderId="186" xfId="0" applyFont="1" applyFill="1" applyBorder="1" applyAlignment="1" applyProtection="1">
      <alignment horizontal="center" vertical="center"/>
      <protection locked="0" hidden="1"/>
    </xf>
    <xf numFmtId="0" fontId="24" fillId="51" borderId="171" xfId="0" applyFont="1" applyFill="1" applyBorder="1" applyAlignment="1" applyProtection="1">
      <alignment horizontal="center" vertical="center"/>
      <protection locked="0" hidden="1"/>
    </xf>
    <xf numFmtId="0" fontId="24" fillId="51" borderId="172" xfId="0" applyFont="1" applyFill="1" applyBorder="1" applyAlignment="1" applyProtection="1">
      <alignment horizontal="center" vertical="center"/>
      <protection locked="0" hidden="1"/>
    </xf>
    <xf numFmtId="0" fontId="24" fillId="51" borderId="170" xfId="0" applyFont="1" applyFill="1" applyBorder="1" applyAlignment="1" applyProtection="1">
      <alignment horizontal="center" vertical="center"/>
      <protection locked="0" hidden="1"/>
    </xf>
    <xf numFmtId="0" fontId="24" fillId="51" borderId="170" xfId="0" applyNumberFormat="1" applyFont="1" applyFill="1" applyBorder="1" applyAlignment="1" applyProtection="1">
      <alignment horizontal="center" vertical="center"/>
      <protection locked="0" hidden="1"/>
    </xf>
    <xf numFmtId="0" fontId="27" fillId="38" borderId="0" xfId="0" applyFont="1" applyFill="1" applyBorder="1" applyAlignment="1" applyProtection="1">
      <alignment vertical="center"/>
      <protection hidden="1"/>
    </xf>
    <xf numFmtId="0" fontId="27" fillId="38" borderId="0" xfId="0" applyFont="1" applyFill="1" applyAlignment="1" applyProtection="1">
      <alignment vertical="center"/>
      <protection hidden="1"/>
    </xf>
    <xf numFmtId="2" fontId="29" fillId="31" borderId="50" xfId="0" applyNumberFormat="1" applyFont="1" applyFill="1" applyBorder="1" applyAlignment="1" applyProtection="1">
      <alignment horizontal="center" vertical="center"/>
      <protection hidden="1"/>
    </xf>
    <xf numFmtId="0" fontId="38" fillId="27" borderId="27" xfId="0" applyFont="1" applyFill="1" applyBorder="1" applyAlignment="1" applyProtection="1">
      <alignment horizontal="right" vertical="center"/>
    </xf>
    <xf numFmtId="0" fontId="29" fillId="31" borderId="58" xfId="0" applyFont="1" applyFill="1" applyBorder="1" applyAlignment="1" applyProtection="1">
      <alignment horizontal="centerContinuous" vertical="center" wrapText="1"/>
      <protection hidden="1"/>
    </xf>
    <xf numFmtId="0" fontId="29" fillId="31" borderId="55" xfId="0" applyFont="1" applyFill="1" applyBorder="1" applyAlignment="1" applyProtection="1">
      <alignment horizontal="centerContinuous" vertical="center" wrapText="1"/>
      <protection hidden="1"/>
    </xf>
    <xf numFmtId="0" fontId="29" fillId="31" borderId="57" xfId="0" applyFont="1" applyFill="1" applyBorder="1" applyAlignment="1" applyProtection="1">
      <alignment horizontal="centerContinuous" vertical="center" wrapText="1"/>
      <protection hidden="1"/>
    </xf>
    <xf numFmtId="0" fontId="29" fillId="31" borderId="10" xfId="0" applyFont="1" applyFill="1" applyBorder="1" applyAlignment="1" applyProtection="1">
      <alignment horizontal="centerContinuous" vertical="center" wrapText="1"/>
      <protection hidden="1"/>
    </xf>
    <xf numFmtId="0" fontId="29" fillId="31" borderId="53" xfId="0" applyFont="1" applyFill="1" applyBorder="1" applyAlignment="1" applyProtection="1">
      <alignment horizontal="centerContinuous" vertical="center" wrapText="1"/>
      <protection hidden="1"/>
    </xf>
    <xf numFmtId="0" fontId="29" fillId="27" borderId="176" xfId="0" applyFont="1" applyFill="1" applyBorder="1" applyAlignment="1" applyProtection="1">
      <alignment horizontal="center" vertical="center"/>
      <protection hidden="1"/>
    </xf>
    <xf numFmtId="194" fontId="27" fillId="27" borderId="26" xfId="0" applyNumberFormat="1" applyFont="1" applyFill="1" applyBorder="1" applyAlignment="1" applyProtection="1">
      <alignment horizontal="centerContinuous" vertical="center"/>
      <protection hidden="1"/>
    </xf>
    <xf numFmtId="194" fontId="27" fillId="27" borderId="26" xfId="0" applyNumberFormat="1" applyFont="1" applyFill="1" applyBorder="1" applyAlignment="1" applyProtection="1">
      <alignment horizontal="centerContinuous" vertical="top"/>
      <protection hidden="1"/>
    </xf>
    <xf numFmtId="0" fontId="24" fillId="27" borderId="26" xfId="0" applyNumberFormat="1" applyFont="1" applyFill="1" applyBorder="1" applyAlignment="1" applyProtection="1">
      <alignment horizontal="centerContinuous" vertical="center"/>
      <protection hidden="1"/>
    </xf>
    <xf numFmtId="0" fontId="46" fillId="27" borderId="50" xfId="0" applyFont="1" applyFill="1" applyBorder="1" applyAlignment="1" applyProtection="1">
      <alignment horizontal="centerContinuous" vertical="center" wrapText="1"/>
      <protection hidden="1"/>
    </xf>
    <xf numFmtId="0" fontId="46" fillId="27" borderId="26" xfId="0" applyFont="1" applyFill="1" applyBorder="1" applyAlignment="1" applyProtection="1">
      <alignment horizontal="centerContinuous" vertical="center" wrapText="1"/>
      <protection hidden="1"/>
    </xf>
    <xf numFmtId="0" fontId="46" fillId="27" borderId="27" xfId="0" applyFont="1" applyFill="1" applyBorder="1" applyAlignment="1" applyProtection="1">
      <alignment horizontal="centerContinuous" vertical="center" wrapText="1"/>
      <protection hidden="1"/>
    </xf>
    <xf numFmtId="194" fontId="34" fillId="27" borderId="10" xfId="0" applyNumberFormat="1" applyFont="1" applyFill="1" applyBorder="1" applyAlignment="1" applyProtection="1">
      <alignment horizontal="center" vertical="center"/>
    </xf>
    <xf numFmtId="179" fontId="0" fillId="0" borderId="10" xfId="0" applyNumberFormat="1" applyBorder="1">
      <alignment vertical="center"/>
    </xf>
    <xf numFmtId="183" fontId="37" fillId="27" borderId="143" xfId="0" applyNumberFormat="1" applyFont="1" applyFill="1" applyBorder="1" applyAlignment="1" applyProtection="1">
      <alignment horizontal="center" vertical="center"/>
      <protection hidden="1"/>
    </xf>
    <xf numFmtId="194" fontId="34" fillId="27" borderId="0" xfId="0" applyNumberFormat="1" applyFont="1" applyFill="1" applyBorder="1" applyAlignment="1" applyProtection="1">
      <alignment horizontal="center" vertical="center"/>
    </xf>
    <xf numFmtId="0" fontId="169" fillId="27" borderId="0" xfId="0" applyFont="1" applyFill="1" applyBorder="1" applyAlignment="1" applyProtection="1">
      <alignment horizontal="left" vertical="center"/>
    </xf>
    <xf numFmtId="0" fontId="169" fillId="27" borderId="0" xfId="0" applyFont="1" applyFill="1" applyBorder="1" applyProtection="1">
      <alignment vertical="center"/>
    </xf>
    <xf numFmtId="0" fontId="183" fillId="0" borderId="0" xfId="0" applyFont="1" applyFill="1" applyAlignment="1" applyProtection="1">
      <alignment horizontal="left" vertical="center"/>
      <protection hidden="1"/>
    </xf>
    <xf numFmtId="0" fontId="29" fillId="27" borderId="56" xfId="0" applyFont="1" applyFill="1" applyBorder="1" applyAlignment="1" applyProtection="1">
      <alignment horizontal="center" vertical="center"/>
      <protection hidden="1"/>
    </xf>
    <xf numFmtId="0" fontId="0" fillId="0" borderId="0" xfId="0" applyFont="1" applyFill="1" applyBorder="1" applyAlignment="1">
      <alignment vertical="top"/>
    </xf>
    <xf numFmtId="0" fontId="169" fillId="0" borderId="0" xfId="0" applyFont="1" applyAlignment="1" applyProtection="1">
      <alignment vertical="center"/>
    </xf>
    <xf numFmtId="0" fontId="29" fillId="27" borderId="14"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9" fillId="27" borderId="169"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4" fillId="51" borderId="186" xfId="0" applyFont="1" applyFill="1" applyBorder="1" applyAlignment="1" applyProtection="1">
      <alignment horizontal="center" vertical="center"/>
      <protection locked="0" hidden="1"/>
    </xf>
    <xf numFmtId="0" fontId="29" fillId="0" borderId="0" xfId="0" applyFont="1" applyAlignment="1">
      <alignment horizontal="right" vertical="top"/>
    </xf>
    <xf numFmtId="0" fontId="29" fillId="0" borderId="0" xfId="0" applyFont="1" applyAlignment="1">
      <alignment vertical="top"/>
    </xf>
    <xf numFmtId="0" fontId="27" fillId="67" borderId="16" xfId="0" applyFont="1" applyFill="1" applyBorder="1" applyAlignment="1" applyProtection="1">
      <alignment horizontal="center" vertical="center"/>
      <protection hidden="1"/>
    </xf>
    <xf numFmtId="0" fontId="29" fillId="67" borderId="12" xfId="0" applyFont="1" applyFill="1" applyBorder="1" applyAlignment="1" applyProtection="1">
      <alignment vertical="center" wrapText="1"/>
      <protection hidden="1"/>
    </xf>
    <xf numFmtId="0" fontId="29" fillId="67" borderId="13" xfId="0" applyFont="1" applyFill="1" applyBorder="1" applyAlignment="1" applyProtection="1">
      <alignment vertical="center" wrapText="1"/>
      <protection hidden="1"/>
    </xf>
    <xf numFmtId="0" fontId="29" fillId="67" borderId="14" xfId="0" applyFont="1" applyFill="1" applyBorder="1" applyAlignment="1" applyProtection="1">
      <alignment vertical="center" wrapText="1"/>
      <protection hidden="1"/>
    </xf>
    <xf numFmtId="0" fontId="27" fillId="67" borderId="165" xfId="0" applyFont="1" applyFill="1" applyBorder="1" applyAlignment="1" applyProtection="1">
      <alignment horizontal="center" vertical="center"/>
      <protection hidden="1"/>
    </xf>
    <xf numFmtId="0" fontId="27" fillId="67" borderId="166" xfId="0" applyFont="1" applyFill="1" applyBorder="1" applyAlignment="1" applyProtection="1">
      <alignment horizontal="center" vertical="center"/>
      <protection hidden="1"/>
    </xf>
    <xf numFmtId="9" fontId="29" fillId="27" borderId="213" xfId="0" applyNumberFormat="1" applyFont="1" applyFill="1" applyBorder="1" applyAlignment="1" applyProtection="1">
      <alignment horizontal="center" vertical="center"/>
      <protection locked="0" hidden="1"/>
    </xf>
    <xf numFmtId="0" fontId="29" fillId="27" borderId="12" xfId="0" applyFont="1" applyFill="1" applyBorder="1" applyAlignment="1" applyProtection="1">
      <alignment horizontal="left" vertical="center"/>
      <protection hidden="1"/>
    </xf>
    <xf numFmtId="0" fontId="34" fillId="27" borderId="26" xfId="0" applyNumberFormat="1" applyFont="1" applyFill="1" applyBorder="1" applyAlignment="1" applyProtection="1">
      <alignment horizontal="left" vertical="center" shrinkToFit="1"/>
      <protection hidden="1"/>
    </xf>
    <xf numFmtId="0" fontId="29" fillId="27" borderId="0" xfId="0" applyFont="1" applyFill="1" applyBorder="1" applyAlignment="1" applyProtection="1">
      <alignment horizontal="left" vertical="center"/>
      <protection hidden="1"/>
    </xf>
    <xf numFmtId="2" fontId="34" fillId="35" borderId="10" xfId="0" applyNumberFormat="1" applyFont="1" applyFill="1" applyBorder="1" applyAlignment="1" applyProtection="1">
      <alignment horizontal="center"/>
      <protection hidden="1"/>
    </xf>
    <xf numFmtId="187" fontId="29" fillId="0" borderId="50" xfId="0" applyNumberFormat="1" applyFont="1" applyFill="1" applyBorder="1" applyAlignment="1" applyProtection="1">
      <alignment horizontal="center" vertical="center" wrapText="1"/>
      <protection locked="0"/>
    </xf>
    <xf numFmtId="180" fontId="29" fillId="0" borderId="50" xfId="0" applyNumberFormat="1" applyFont="1" applyFill="1" applyBorder="1" applyAlignment="1" applyProtection="1">
      <alignment horizontal="left" vertical="center"/>
      <protection locked="0"/>
    </xf>
    <xf numFmtId="0" fontId="34" fillId="27" borderId="30" xfId="0" applyFont="1" applyFill="1" applyBorder="1" applyAlignment="1" applyProtection="1">
      <alignment vertical="center"/>
      <protection hidden="1"/>
    </xf>
    <xf numFmtId="0" fontId="34" fillId="27" borderId="10" xfId="0" applyFont="1" applyFill="1" applyBorder="1" applyAlignment="1" applyProtection="1">
      <alignment horizontal="left" vertical="center"/>
    </xf>
    <xf numFmtId="0" fontId="34" fillId="27" borderId="50" xfId="0" applyFont="1" applyFill="1" applyBorder="1" applyAlignment="1" applyProtection="1">
      <alignment horizontal="left" vertical="center"/>
      <protection hidden="1"/>
    </xf>
    <xf numFmtId="0" fontId="34" fillId="27" borderId="51" xfId="0" applyFont="1" applyFill="1" applyBorder="1" applyAlignment="1" applyProtection="1">
      <alignment horizontal="left" vertical="center"/>
      <protection hidden="1"/>
    </xf>
    <xf numFmtId="0" fontId="34" fillId="27" borderId="52" xfId="0" applyFont="1" applyFill="1" applyBorder="1" applyAlignment="1" applyProtection="1">
      <alignment horizontal="left" vertical="center"/>
      <protection hidden="1"/>
    </xf>
    <xf numFmtId="0" fontId="34" fillId="27" borderId="53" xfId="0" applyFont="1" applyFill="1" applyBorder="1" applyAlignment="1" applyProtection="1">
      <alignment horizontal="left" vertical="center"/>
      <protection hidden="1"/>
    </xf>
    <xf numFmtId="0" fontId="34" fillId="27" borderId="11" xfId="0" applyFont="1" applyFill="1" applyBorder="1" applyAlignment="1" applyProtection="1">
      <alignment horizontal="left" vertical="center"/>
      <protection hidden="1"/>
    </xf>
    <xf numFmtId="0" fontId="34" fillId="27" borderId="12" xfId="0" applyFont="1" applyFill="1" applyBorder="1" applyAlignment="1" applyProtection="1">
      <alignment horizontal="left" vertical="center"/>
      <protection hidden="1"/>
    </xf>
    <xf numFmtId="0" fontId="34" fillId="27" borderId="13" xfId="0" applyFont="1" applyFill="1" applyBorder="1" applyAlignment="1" applyProtection="1">
      <alignment horizontal="left" vertical="center"/>
      <protection hidden="1"/>
    </xf>
    <xf numFmtId="0" fontId="34" fillId="27" borderId="55" xfId="0" applyFont="1" applyFill="1" applyBorder="1" applyAlignment="1" applyProtection="1">
      <alignment horizontal="left" vertical="center"/>
      <protection hidden="1"/>
    </xf>
    <xf numFmtId="0" fontId="34" fillId="27" borderId="56" xfId="0" applyFont="1" applyFill="1" applyBorder="1" applyAlignment="1" applyProtection="1">
      <alignment horizontal="left" vertical="center"/>
      <protection hidden="1"/>
    </xf>
    <xf numFmtId="0" fontId="34" fillId="27" borderId="57" xfId="0" applyFont="1" applyFill="1" applyBorder="1" applyAlignment="1" applyProtection="1">
      <alignment horizontal="left" vertical="center"/>
      <protection hidden="1"/>
    </xf>
    <xf numFmtId="0" fontId="34" fillId="27" borderId="26" xfId="0" applyNumberFormat="1" applyFont="1" applyFill="1" applyBorder="1" applyAlignment="1" applyProtection="1">
      <alignment horizontal="left" vertical="center" shrinkToFit="1"/>
      <protection hidden="1"/>
    </xf>
    <xf numFmtId="180" fontId="29" fillId="0" borderId="50" xfId="0" applyNumberFormat="1" applyFont="1" applyFill="1" applyBorder="1" applyAlignment="1" applyProtection="1">
      <alignment horizontal="left" vertical="center" wrapText="1"/>
      <protection locked="0"/>
    </xf>
    <xf numFmtId="0" fontId="185" fillId="27" borderId="24" xfId="0" applyFont="1" applyFill="1" applyBorder="1" applyAlignment="1" applyProtection="1">
      <protection hidden="1"/>
    </xf>
    <xf numFmtId="181" fontId="34" fillId="0" borderId="76" xfId="0" applyNumberFormat="1" applyFont="1" applyFill="1" applyBorder="1" applyAlignment="1" applyProtection="1">
      <alignment horizontal="left" vertical="center"/>
      <protection hidden="1"/>
    </xf>
    <xf numFmtId="0" fontId="68" fillId="0" borderId="67" xfId="0" applyFont="1" applyFill="1" applyBorder="1" applyAlignment="1" applyProtection="1">
      <alignment vertical="center" wrapText="1"/>
      <protection hidden="1"/>
    </xf>
    <xf numFmtId="0" fontId="0" fillId="0" borderId="10" xfId="0" applyNumberFormat="1" applyFont="1" applyFill="1" applyBorder="1" applyAlignment="1" applyProtection="1">
      <alignment horizontal="left" vertical="center"/>
      <protection hidden="1"/>
    </xf>
    <xf numFmtId="0" fontId="126" fillId="61" borderId="100" xfId="0" applyFont="1" applyFill="1" applyBorder="1" applyAlignment="1" applyProtection="1">
      <alignment horizontal="center" vertical="center"/>
      <protection hidden="1"/>
    </xf>
    <xf numFmtId="0" fontId="126" fillId="61" borderId="62" xfId="0" applyFont="1" applyFill="1" applyBorder="1" applyAlignment="1" applyProtection="1">
      <alignment horizontal="center" vertical="center"/>
      <protection hidden="1"/>
    </xf>
    <xf numFmtId="183" fontId="37" fillId="0" borderId="92" xfId="0" applyNumberFormat="1" applyFont="1" applyFill="1" applyBorder="1" applyAlignment="1" applyProtection="1">
      <alignment horizontal="center" vertical="center"/>
      <protection locked="0"/>
    </xf>
    <xf numFmtId="192" fontId="126" fillId="54" borderId="26" xfId="35" applyNumberFormat="1" applyFont="1" applyFill="1" applyBorder="1" applyAlignment="1" applyProtection="1">
      <alignment horizontal="center" vertical="center"/>
      <protection hidden="1"/>
    </xf>
    <xf numFmtId="192" fontId="34" fillId="54" borderId="10" xfId="35" applyNumberFormat="1" applyFont="1" applyFill="1" applyBorder="1" applyAlignment="1" applyProtection="1">
      <alignment horizontal="center" vertical="center"/>
      <protection hidden="1"/>
    </xf>
    <xf numFmtId="192" fontId="34" fillId="27" borderId="27" xfId="35" applyNumberFormat="1" applyFont="1" applyFill="1" applyBorder="1" applyAlignment="1" applyProtection="1">
      <alignment horizontal="center" vertical="center"/>
      <protection hidden="1"/>
    </xf>
    <xf numFmtId="192" fontId="126" fillId="54" borderId="26" xfId="0" applyNumberFormat="1" applyFont="1" applyFill="1" applyBorder="1" applyAlignment="1" applyProtection="1">
      <alignment horizontal="center" vertical="center"/>
      <protection hidden="1"/>
    </xf>
    <xf numFmtId="192" fontId="34" fillId="54" borderId="26" xfId="0" applyNumberFormat="1" applyFont="1" applyFill="1" applyBorder="1" applyAlignment="1" applyProtection="1">
      <alignment horizontal="center" vertical="center"/>
      <protection hidden="1"/>
    </xf>
    <xf numFmtId="192" fontId="34" fillId="27" borderId="10" xfId="0" applyNumberFormat="1" applyFont="1" applyFill="1" applyBorder="1" applyAlignment="1" applyProtection="1">
      <alignment horizontal="center"/>
      <protection hidden="1"/>
    </xf>
    <xf numFmtId="192" fontId="34" fillId="42" borderId="10" xfId="35" applyNumberFormat="1" applyFont="1" applyFill="1" applyBorder="1" applyAlignment="1" applyProtection="1">
      <alignment horizontal="center" vertical="center"/>
      <protection hidden="1"/>
    </xf>
    <xf numFmtId="192" fontId="34" fillId="56" borderId="26" xfId="35" applyNumberFormat="1" applyFont="1" applyFill="1" applyBorder="1" applyAlignment="1" applyProtection="1">
      <alignment horizontal="center" vertical="center"/>
      <protection hidden="1"/>
    </xf>
    <xf numFmtId="192" fontId="34" fillId="42" borderId="27" xfId="35" applyNumberFormat="1" applyFont="1" applyFill="1" applyBorder="1" applyAlignment="1" applyProtection="1">
      <alignment horizontal="center" vertical="center"/>
      <protection hidden="1"/>
    </xf>
    <xf numFmtId="192" fontId="34" fillId="54" borderId="26" xfId="35" applyNumberFormat="1" applyFont="1" applyFill="1" applyBorder="1" applyAlignment="1" applyProtection="1">
      <alignment horizontal="center" vertical="center"/>
      <protection hidden="1"/>
    </xf>
    <xf numFmtId="192" fontId="34" fillId="27" borderId="26" xfId="0" applyNumberFormat="1" applyFont="1" applyFill="1" applyBorder="1" applyAlignment="1" applyProtection="1">
      <alignment horizontal="center" vertical="center"/>
      <protection hidden="1"/>
    </xf>
    <xf numFmtId="192" fontId="126" fillId="27" borderId="26" xfId="35" applyNumberFormat="1" applyFont="1" applyFill="1" applyBorder="1" applyAlignment="1" applyProtection="1">
      <alignment horizontal="center"/>
      <protection hidden="1"/>
    </xf>
    <xf numFmtId="192" fontId="34" fillId="27" borderId="27" xfId="35" applyNumberFormat="1" applyFont="1" applyFill="1" applyBorder="1" applyAlignment="1" applyProtection="1">
      <alignment horizontal="center"/>
      <protection hidden="1"/>
    </xf>
    <xf numFmtId="192" fontId="126" fillId="35" borderId="10" xfId="35" applyNumberFormat="1" applyFont="1" applyFill="1" applyBorder="1" applyAlignment="1" applyProtection="1">
      <alignment horizontal="center" vertical="top"/>
      <protection hidden="1"/>
    </xf>
    <xf numFmtId="192" fontId="126" fillId="35" borderId="26" xfId="35" applyNumberFormat="1" applyFont="1" applyFill="1" applyBorder="1" applyAlignment="1" applyProtection="1">
      <alignment horizontal="center" vertical="top"/>
      <protection hidden="1"/>
    </xf>
    <xf numFmtId="192" fontId="126" fillId="35" borderId="27" xfId="0" applyNumberFormat="1" applyFont="1" applyFill="1" applyBorder="1" applyAlignment="1" applyProtection="1">
      <alignment horizontal="center" vertical="top"/>
      <protection hidden="1"/>
    </xf>
    <xf numFmtId="192" fontId="126" fillId="35" borderId="10" xfId="0" applyNumberFormat="1" applyFont="1" applyFill="1" applyBorder="1" applyAlignment="1" applyProtection="1">
      <alignment horizontal="center" vertical="top"/>
      <protection hidden="1"/>
    </xf>
    <xf numFmtId="192" fontId="126" fillId="27" borderId="27" xfId="0" applyNumberFormat="1" applyFont="1" applyFill="1" applyBorder="1" applyAlignment="1" applyProtection="1">
      <alignment horizontal="center"/>
      <protection hidden="1"/>
    </xf>
    <xf numFmtId="192" fontId="126" fillId="27" borderId="10" xfId="0" applyNumberFormat="1" applyFont="1" applyFill="1" applyBorder="1" applyAlignment="1" applyProtection="1">
      <alignment horizontal="center"/>
      <protection hidden="1"/>
    </xf>
    <xf numFmtId="192" fontId="34" fillId="27" borderId="27" xfId="0" applyNumberFormat="1" applyFont="1" applyFill="1" applyBorder="1" applyAlignment="1" applyProtection="1">
      <alignment horizontal="center"/>
      <protection hidden="1"/>
    </xf>
    <xf numFmtId="192" fontId="186" fillId="31" borderId="10" xfId="35" applyNumberFormat="1" applyFont="1" applyFill="1" applyBorder="1" applyAlignment="1" applyProtection="1">
      <alignment horizontal="center" vertical="center"/>
      <protection hidden="1"/>
    </xf>
    <xf numFmtId="192" fontId="187" fillId="27" borderId="10" xfId="35" applyNumberFormat="1" applyFont="1" applyFill="1" applyBorder="1" applyAlignment="1" applyProtection="1">
      <alignment horizontal="center" vertical="center"/>
      <protection hidden="1"/>
    </xf>
    <xf numFmtId="2" fontId="34" fillId="69" borderId="10" xfId="35" applyNumberFormat="1" applyFont="1" applyFill="1" applyBorder="1" applyAlignment="1" applyProtection="1">
      <alignment horizontal="center" vertical="center"/>
      <protection hidden="1"/>
    </xf>
    <xf numFmtId="178" fontId="34" fillId="69" borderId="10" xfId="35" applyNumberFormat="1" applyFont="1" applyFill="1" applyBorder="1" applyAlignment="1" applyProtection="1">
      <alignment horizontal="center" vertical="center"/>
      <protection hidden="1"/>
    </xf>
    <xf numFmtId="192" fontId="186" fillId="27" borderId="10" xfId="35" applyNumberFormat="1" applyFont="1" applyFill="1" applyBorder="1" applyAlignment="1" applyProtection="1">
      <alignment horizontal="center" vertical="center"/>
      <protection hidden="1"/>
    </xf>
    <xf numFmtId="49" fontId="187" fillId="27" borderId="10" xfId="0" applyNumberFormat="1" applyFont="1" applyFill="1" applyBorder="1" applyAlignment="1" applyProtection="1">
      <alignment horizontal="left" vertical="center"/>
      <protection hidden="1"/>
    </xf>
    <xf numFmtId="0" fontId="187" fillId="27" borderId="10" xfId="0" applyFont="1" applyFill="1" applyBorder="1" applyAlignment="1" applyProtection="1">
      <alignment horizontal="left" vertical="center" shrinkToFit="1"/>
      <protection hidden="1"/>
    </xf>
    <xf numFmtId="0" fontId="0" fillId="59" borderId="100" xfId="0" applyFill="1" applyBorder="1" applyAlignment="1" applyProtection="1">
      <alignment horizontal="center" vertical="center"/>
      <protection hidden="1"/>
    </xf>
    <xf numFmtId="2" fontId="187" fillId="27" borderId="10" xfId="35" applyNumberFormat="1" applyFont="1" applyFill="1" applyBorder="1" applyAlignment="1" applyProtection="1">
      <alignment horizontal="center" vertical="center"/>
      <protection hidden="1"/>
    </xf>
    <xf numFmtId="192" fontId="186" fillId="27" borderId="10" xfId="35" applyNumberFormat="1" applyFont="1" applyFill="1" applyBorder="1" applyAlignment="1" applyProtection="1">
      <alignment horizontal="center"/>
      <protection hidden="1"/>
    </xf>
    <xf numFmtId="0" fontId="186" fillId="27" borderId="10" xfId="0" applyFont="1" applyFill="1" applyBorder="1" applyAlignment="1" applyProtection="1">
      <alignment horizontal="left" vertical="center" shrinkToFit="1"/>
      <protection hidden="1"/>
    </xf>
    <xf numFmtId="2" fontId="187" fillId="27" borderId="10" xfId="0" applyNumberFormat="1" applyFont="1" applyFill="1" applyBorder="1" applyAlignment="1" applyProtection="1">
      <alignment horizontal="left" vertical="center" shrinkToFit="1"/>
      <protection hidden="1"/>
    </xf>
    <xf numFmtId="192" fontId="187" fillId="27" borderId="10" xfId="35" applyNumberFormat="1" applyFont="1" applyFill="1" applyBorder="1" applyAlignment="1" applyProtection="1">
      <alignment horizontal="center"/>
      <protection hidden="1"/>
    </xf>
    <xf numFmtId="0" fontId="187" fillId="27" borderId="26" xfId="0" applyNumberFormat="1" applyFont="1" applyFill="1" applyBorder="1" applyAlignment="1" applyProtection="1">
      <alignment horizontal="left" vertical="center" shrinkToFit="1"/>
      <protection hidden="1"/>
    </xf>
    <xf numFmtId="0" fontId="188" fillId="27" borderId="26" xfId="0" applyFont="1" applyFill="1" applyBorder="1" applyAlignment="1" applyProtection="1">
      <alignment vertical="center"/>
      <protection hidden="1"/>
    </xf>
    <xf numFmtId="0" fontId="187" fillId="27" borderId="57" xfId="0" applyNumberFormat="1" applyFont="1" applyFill="1" applyBorder="1" applyAlignment="1" applyProtection="1">
      <alignment horizontal="left" vertical="center"/>
      <protection hidden="1"/>
    </xf>
    <xf numFmtId="0" fontId="188" fillId="27" borderId="89" xfId="0" quotePrefix="1" applyFont="1" applyFill="1" applyBorder="1" applyAlignment="1" applyProtection="1">
      <alignment vertical="center"/>
      <protection hidden="1"/>
    </xf>
    <xf numFmtId="0" fontId="188" fillId="27" borderId="62" xfId="0" quotePrefix="1" applyFont="1" applyFill="1" applyBorder="1" applyAlignment="1" applyProtection="1">
      <alignment vertical="center"/>
      <protection hidden="1"/>
    </xf>
    <xf numFmtId="0" fontId="188" fillId="27" borderId="64" xfId="0" applyFont="1" applyFill="1" applyBorder="1" applyProtection="1">
      <alignment vertical="center"/>
      <protection hidden="1"/>
    </xf>
    <xf numFmtId="0" fontId="187" fillId="27" borderId="82" xfId="0" applyFont="1" applyFill="1" applyBorder="1" applyAlignment="1" applyProtection="1">
      <alignment vertical="center"/>
      <protection hidden="1"/>
    </xf>
    <xf numFmtId="0" fontId="187" fillId="27" borderId="50" xfId="0" applyFont="1" applyFill="1" applyBorder="1" applyAlignment="1" applyProtection="1">
      <alignment vertical="center"/>
      <protection hidden="1"/>
    </xf>
    <xf numFmtId="0" fontId="187" fillId="27" borderId="10" xfId="0" applyFont="1" applyFill="1" applyBorder="1" applyAlignment="1" applyProtection="1">
      <alignment horizontal="center" vertical="center"/>
      <protection hidden="1"/>
    </xf>
    <xf numFmtId="183" fontId="189" fillId="27" borderId="93" xfId="0" applyNumberFormat="1" applyFont="1" applyFill="1" applyBorder="1" applyAlignment="1" applyProtection="1">
      <alignment horizontal="center" vertical="center" wrapText="1"/>
      <protection hidden="1"/>
    </xf>
    <xf numFmtId="183" fontId="189" fillId="27" borderId="57" xfId="0" applyNumberFormat="1" applyFont="1" applyFill="1" applyBorder="1" applyAlignment="1" applyProtection="1">
      <alignment horizontal="center" vertical="center" wrapText="1"/>
      <protection hidden="1"/>
    </xf>
    <xf numFmtId="183" fontId="37" fillId="0" borderId="144" xfId="0" applyNumberFormat="1" applyFont="1" applyFill="1" applyBorder="1" applyAlignment="1" applyProtection="1">
      <alignment horizontal="center" vertical="center"/>
      <protection locked="0"/>
    </xf>
    <xf numFmtId="183" fontId="30" fillId="0" borderId="92" xfId="0" applyNumberFormat="1" applyFont="1" applyFill="1" applyBorder="1" applyAlignment="1" applyProtection="1">
      <alignment horizontal="center" vertical="center"/>
      <protection locked="0"/>
    </xf>
    <xf numFmtId="183" fontId="30" fillId="0" borderId="100" xfId="0" applyNumberFormat="1" applyFont="1" applyFill="1" applyBorder="1" applyAlignment="1" applyProtection="1">
      <alignment horizontal="center" vertical="center"/>
      <protection locked="0"/>
    </xf>
    <xf numFmtId="183" fontId="37" fillId="0" borderId="115" xfId="0" applyNumberFormat="1" applyFont="1" applyFill="1" applyBorder="1" applyAlignment="1" applyProtection="1">
      <alignment horizontal="center" vertical="center"/>
      <protection locked="0"/>
    </xf>
    <xf numFmtId="183" fontId="37" fillId="0" borderId="100" xfId="0" applyNumberFormat="1" applyFont="1" applyFill="1" applyBorder="1" applyAlignment="1" applyProtection="1">
      <alignment horizontal="center" vertical="center"/>
      <protection locked="0"/>
    </xf>
    <xf numFmtId="183" fontId="30" fillId="0" borderId="115" xfId="0" applyNumberFormat="1" applyFont="1" applyFill="1" applyBorder="1" applyAlignment="1" applyProtection="1">
      <alignment horizontal="center" vertical="center"/>
      <protection locked="0"/>
    </xf>
    <xf numFmtId="183" fontId="30" fillId="0" borderId="61" xfId="0" applyNumberFormat="1" applyFont="1" applyFill="1" applyBorder="1" applyAlignment="1" applyProtection="1">
      <alignment horizontal="center" vertical="center"/>
      <protection locked="0"/>
    </xf>
    <xf numFmtId="183" fontId="30" fillId="0" borderId="63" xfId="0" applyNumberFormat="1" applyFont="1" applyFill="1" applyBorder="1" applyAlignment="1" applyProtection="1">
      <alignment horizontal="center" vertical="center"/>
      <protection locked="0"/>
    </xf>
    <xf numFmtId="183" fontId="30" fillId="0" borderId="67" xfId="0" applyNumberFormat="1" applyFont="1" applyFill="1" applyBorder="1" applyAlignment="1" applyProtection="1">
      <alignment horizontal="center" vertical="center"/>
      <protection locked="0"/>
    </xf>
    <xf numFmtId="183" fontId="37" fillId="27" borderId="236" xfId="0" applyNumberFormat="1" applyFont="1" applyFill="1" applyBorder="1" applyAlignment="1" applyProtection="1">
      <alignment horizontal="center" vertical="center"/>
      <protection hidden="1"/>
    </xf>
    <xf numFmtId="183" fontId="37" fillId="27" borderId="225" xfId="0" applyNumberFormat="1" applyFont="1" applyFill="1" applyBorder="1" applyAlignment="1" applyProtection="1">
      <alignment horizontal="center" vertical="center"/>
      <protection hidden="1"/>
    </xf>
    <xf numFmtId="183" fontId="128" fillId="31" borderId="131" xfId="0" applyNumberFormat="1" applyFont="1" applyFill="1" applyBorder="1" applyAlignment="1" applyProtection="1">
      <alignment horizontal="center" vertical="center"/>
      <protection hidden="1"/>
    </xf>
    <xf numFmtId="183" fontId="37" fillId="27" borderId="237" xfId="0" applyNumberFormat="1" applyFont="1" applyFill="1" applyBorder="1" applyAlignment="1" applyProtection="1">
      <alignment horizontal="center" vertical="center"/>
      <protection hidden="1"/>
    </xf>
    <xf numFmtId="183" fontId="37" fillId="27" borderId="222" xfId="0" applyNumberFormat="1" applyFont="1" applyFill="1" applyBorder="1" applyAlignment="1" applyProtection="1">
      <alignment horizontal="center" vertical="center"/>
      <protection hidden="1"/>
    </xf>
    <xf numFmtId="183" fontId="30" fillId="51" borderId="56" xfId="0" applyNumberFormat="1" applyFont="1" applyFill="1" applyBorder="1" applyAlignment="1" applyProtection="1">
      <alignment horizontal="center" vertical="center"/>
      <protection hidden="1"/>
    </xf>
    <xf numFmtId="183" fontId="37" fillId="27" borderId="26" xfId="0" applyNumberFormat="1" applyFont="1" applyFill="1" applyBorder="1" applyAlignment="1" applyProtection="1">
      <alignment horizontal="center" vertical="center"/>
      <protection hidden="1"/>
    </xf>
    <xf numFmtId="183" fontId="37" fillId="51" borderId="111" xfId="0" applyNumberFormat="1" applyFont="1" applyFill="1" applyBorder="1" applyAlignment="1" applyProtection="1">
      <alignment horizontal="center" vertical="center"/>
      <protection hidden="1"/>
    </xf>
    <xf numFmtId="183" fontId="37" fillId="51" borderId="56" xfId="0" applyNumberFormat="1" applyFont="1" applyFill="1" applyBorder="1" applyAlignment="1" applyProtection="1">
      <alignment horizontal="center" vertical="center"/>
      <protection hidden="1"/>
    </xf>
    <xf numFmtId="183" fontId="37" fillId="27" borderId="138" xfId="0" applyNumberFormat="1" applyFont="1" applyFill="1" applyBorder="1" applyAlignment="1" applyProtection="1">
      <alignment horizontal="center" vertical="center"/>
      <protection hidden="1"/>
    </xf>
    <xf numFmtId="183" fontId="30" fillId="51" borderId="148" xfId="0" applyNumberFormat="1" applyFont="1" applyFill="1" applyBorder="1" applyAlignment="1" applyProtection="1">
      <alignment horizontal="center" vertical="center"/>
      <protection hidden="1"/>
    </xf>
    <xf numFmtId="183" fontId="30" fillId="0" borderId="148" xfId="0" applyNumberFormat="1" applyFont="1" applyFill="1" applyBorder="1" applyAlignment="1" applyProtection="1">
      <alignment horizontal="center" vertical="center"/>
      <protection hidden="1"/>
    </xf>
    <xf numFmtId="183" fontId="30" fillId="51" borderId="64" xfId="0" applyNumberFormat="1" applyFont="1" applyFill="1" applyBorder="1" applyAlignment="1" applyProtection="1">
      <alignment horizontal="center" vertical="center"/>
      <protection hidden="1"/>
    </xf>
    <xf numFmtId="183" fontId="37" fillId="51" borderId="26" xfId="0" applyNumberFormat="1" applyFont="1" applyFill="1" applyBorder="1" applyAlignment="1" applyProtection="1">
      <alignment horizontal="center" vertical="center"/>
      <protection hidden="1"/>
    </xf>
    <xf numFmtId="183" fontId="37" fillId="51" borderId="64" xfId="0" applyNumberFormat="1" applyFont="1" applyFill="1" applyBorder="1" applyAlignment="1" applyProtection="1">
      <alignment horizontal="center" vertical="center"/>
      <protection hidden="1"/>
    </xf>
    <xf numFmtId="183" fontId="128" fillId="31" borderId="223" xfId="0" applyNumberFormat="1" applyFont="1" applyFill="1" applyBorder="1" applyAlignment="1" applyProtection="1">
      <alignment horizontal="center" vertical="center"/>
      <protection hidden="1"/>
    </xf>
    <xf numFmtId="183" fontId="37" fillId="51" borderId="52" xfId="0" applyNumberFormat="1" applyFont="1" applyFill="1" applyBorder="1" applyAlignment="1" applyProtection="1">
      <alignment horizontal="center" vertical="center"/>
      <protection hidden="1"/>
    </xf>
    <xf numFmtId="183" fontId="30" fillId="51" borderId="83" xfId="0" applyNumberFormat="1" applyFont="1" applyFill="1" applyBorder="1" applyAlignment="1" applyProtection="1">
      <alignment horizontal="center" vertical="center"/>
      <protection hidden="1"/>
    </xf>
    <xf numFmtId="183" fontId="37" fillId="51" borderId="83" xfId="0" applyNumberFormat="1" applyFont="1" applyFill="1" applyBorder="1" applyAlignment="1" applyProtection="1">
      <alignment horizontal="center" vertical="center"/>
      <protection hidden="1"/>
    </xf>
    <xf numFmtId="177" fontId="54" fillId="51" borderId="10" xfId="0" applyNumberFormat="1" applyFont="1" applyFill="1" applyBorder="1" applyAlignment="1" applyProtection="1">
      <alignment horizontal="center" vertical="center"/>
      <protection hidden="1"/>
    </xf>
    <xf numFmtId="183" fontId="37" fillId="51" borderId="143" xfId="0" applyNumberFormat="1" applyFont="1" applyFill="1" applyBorder="1" applyAlignment="1" applyProtection="1">
      <alignment horizontal="center" vertical="center"/>
      <protection hidden="1"/>
    </xf>
    <xf numFmtId="183" fontId="37" fillId="27" borderId="176" xfId="0" applyNumberFormat="1" applyFont="1" applyFill="1" applyBorder="1" applyAlignment="1" applyProtection="1">
      <alignment horizontal="center" vertical="center"/>
      <protection hidden="1"/>
    </xf>
    <xf numFmtId="0" fontId="37" fillId="69" borderId="10" xfId="0" applyNumberFormat="1" applyFont="1" applyFill="1" applyBorder="1" applyAlignment="1" applyProtection="1">
      <alignment horizontal="center" vertical="center"/>
      <protection hidden="1"/>
    </xf>
    <xf numFmtId="177" fontId="54" fillId="69" borderId="10" xfId="0" applyNumberFormat="1" applyFont="1" applyFill="1" applyBorder="1" applyAlignment="1" applyProtection="1">
      <alignment horizontal="center" vertical="center"/>
      <protection hidden="1"/>
    </xf>
    <xf numFmtId="0" fontId="37" fillId="51" borderId="10" xfId="0" applyNumberFormat="1" applyFont="1" applyFill="1" applyBorder="1" applyAlignment="1" applyProtection="1">
      <alignment horizontal="center" vertical="center"/>
      <protection hidden="1"/>
    </xf>
    <xf numFmtId="178" fontId="34" fillId="38" borderId="0" xfId="35" applyNumberFormat="1" applyFont="1" applyFill="1" applyBorder="1" applyAlignment="1" applyProtection="1">
      <alignment horizontal="center" vertical="center"/>
      <protection hidden="1"/>
    </xf>
    <xf numFmtId="0" fontId="37" fillId="0" borderId="0" xfId="0" applyFont="1" applyFill="1" applyBorder="1" applyAlignment="1" applyProtection="1">
      <alignment horizontal="center" vertical="justify"/>
      <protection hidden="1"/>
    </xf>
    <xf numFmtId="0" fontId="30" fillId="27" borderId="10" xfId="0" applyFont="1" applyFill="1" applyBorder="1" applyAlignment="1" applyProtection="1">
      <alignment horizontal="center" vertical="center" shrinkToFit="1"/>
      <protection hidden="1"/>
    </xf>
    <xf numFmtId="0" fontId="30" fillId="0" borderId="0" xfId="0" applyFont="1" applyFill="1" applyBorder="1" applyAlignment="1" applyProtection="1">
      <alignment horizontal="center" vertical="justify"/>
      <protection hidden="1"/>
    </xf>
    <xf numFmtId="0" fontId="30" fillId="0" borderId="69" xfId="0" applyFont="1" applyFill="1" applyBorder="1" applyAlignment="1" applyProtection="1">
      <alignment horizontal="center" vertical="justify"/>
      <protection hidden="1"/>
    </xf>
    <xf numFmtId="0" fontId="30" fillId="0" borderId="60" xfId="0" applyFont="1" applyFill="1" applyBorder="1" applyAlignment="1" applyProtection="1">
      <alignment horizontal="center" vertical="justify"/>
      <protection hidden="1"/>
    </xf>
    <xf numFmtId="0" fontId="30" fillId="0" borderId="66" xfId="0" applyFont="1" applyFill="1" applyBorder="1" applyAlignment="1" applyProtection="1">
      <alignment horizontal="center" vertical="justify"/>
      <protection hidden="1"/>
    </xf>
    <xf numFmtId="0" fontId="30" fillId="0" borderId="62" xfId="0" applyFont="1" applyFill="1" applyBorder="1" applyAlignment="1" applyProtection="1">
      <alignment horizontal="center" vertical="justify"/>
      <protection hidden="1"/>
    </xf>
    <xf numFmtId="177" fontId="30" fillId="0" borderId="117" xfId="0" applyNumberFormat="1" applyFont="1" applyFill="1" applyBorder="1" applyAlignment="1" applyProtection="1">
      <alignment horizontal="center" vertical="justify"/>
      <protection hidden="1"/>
    </xf>
    <xf numFmtId="0" fontId="37" fillId="0" borderId="62" xfId="0" applyFont="1" applyFill="1" applyBorder="1" applyAlignment="1" applyProtection="1">
      <alignment horizontal="center" vertical="justify"/>
      <protection hidden="1"/>
    </xf>
    <xf numFmtId="177" fontId="30" fillId="0" borderId="100" xfId="0" applyNumberFormat="1" applyFont="1" applyFill="1" applyBorder="1" applyAlignment="1" applyProtection="1">
      <alignment horizontal="center" vertical="justify"/>
      <protection hidden="1"/>
    </xf>
    <xf numFmtId="177" fontId="30" fillId="0" borderId="115" xfId="0" applyNumberFormat="1" applyFont="1" applyFill="1" applyBorder="1" applyAlignment="1" applyProtection="1">
      <alignment horizontal="center" vertical="justify"/>
      <protection hidden="1"/>
    </xf>
    <xf numFmtId="177" fontId="30" fillId="0" borderId="92" xfId="0" applyNumberFormat="1" applyFont="1" applyFill="1" applyBorder="1" applyAlignment="1" applyProtection="1">
      <alignment horizontal="center" vertical="justify"/>
      <protection hidden="1"/>
    </xf>
    <xf numFmtId="177" fontId="30" fillId="0" borderId="0" xfId="0" applyNumberFormat="1" applyFont="1" applyFill="1" applyBorder="1" applyAlignment="1" applyProtection="1">
      <alignment horizontal="center" vertical="justify"/>
      <protection hidden="1"/>
    </xf>
    <xf numFmtId="0" fontId="50" fillId="0" borderId="0" xfId="0" applyFont="1" applyAlignment="1">
      <alignment horizontal="center" vertical="center"/>
    </xf>
    <xf numFmtId="0" fontId="113" fillId="0" borderId="0" xfId="0" applyFont="1" applyFill="1" applyBorder="1" applyAlignment="1" applyProtection="1">
      <alignment horizontal="center" vertical="top"/>
      <protection hidden="1"/>
    </xf>
    <xf numFmtId="0" fontId="50" fillId="0" borderId="60" xfId="0" applyFont="1" applyBorder="1" applyAlignment="1">
      <alignment horizontal="center" vertical="center"/>
    </xf>
    <xf numFmtId="0" fontId="46" fillId="35" borderId="58" xfId="0" applyNumberFormat="1" applyFont="1" applyFill="1" applyBorder="1" applyAlignment="1" applyProtection="1">
      <alignment horizontal="left" vertical="center" shrinkToFit="1"/>
      <protection hidden="1"/>
    </xf>
    <xf numFmtId="0" fontId="34" fillId="27" borderId="10" xfId="0" applyNumberFormat="1" applyFont="1" applyFill="1" applyBorder="1" applyAlignment="1">
      <alignment horizontal="left" vertical="center" shrinkToFit="1"/>
    </xf>
    <xf numFmtId="0" fontId="34" fillId="27" borderId="53" xfId="0" applyNumberFormat="1" applyFont="1" applyFill="1" applyBorder="1" applyAlignment="1" applyProtection="1">
      <alignment horizontal="left" vertical="center" shrinkToFit="1"/>
      <protection hidden="1"/>
    </xf>
    <xf numFmtId="177" fontId="190" fillId="0" borderId="100" xfId="0" applyNumberFormat="1" applyFont="1" applyFill="1" applyBorder="1" applyAlignment="1" applyProtection="1">
      <alignment horizontal="center" vertical="center"/>
      <protection hidden="1"/>
    </xf>
    <xf numFmtId="177" fontId="190" fillId="0" borderId="115" xfId="0" applyNumberFormat="1" applyFont="1" applyFill="1" applyBorder="1" applyAlignment="1" applyProtection="1">
      <alignment horizontal="center" vertical="justify"/>
      <protection hidden="1"/>
    </xf>
    <xf numFmtId="177" fontId="190" fillId="0" borderId="118" xfId="0" applyNumberFormat="1" applyFont="1" applyFill="1" applyBorder="1" applyAlignment="1" applyProtection="1">
      <alignment horizontal="center" vertical="center"/>
      <protection hidden="1"/>
    </xf>
    <xf numFmtId="177" fontId="190" fillId="0" borderId="116" xfId="0" applyNumberFormat="1" applyFont="1" applyFill="1" applyBorder="1" applyAlignment="1" applyProtection="1">
      <alignment horizontal="center" vertical="center"/>
      <protection hidden="1"/>
    </xf>
    <xf numFmtId="0" fontId="126" fillId="61" borderId="238" xfId="0" applyFont="1" applyFill="1" applyBorder="1" applyAlignment="1" applyProtection="1">
      <alignment horizontal="center" vertical="center"/>
      <protection hidden="1"/>
    </xf>
    <xf numFmtId="0" fontId="126" fillId="61" borderId="145" xfId="0" applyFont="1" applyFill="1" applyBorder="1" applyAlignment="1" applyProtection="1">
      <alignment horizontal="center" vertical="center"/>
      <protection hidden="1"/>
    </xf>
    <xf numFmtId="0" fontId="186" fillId="27" borderId="50" xfId="0" applyNumberFormat="1" applyFont="1" applyFill="1" applyBorder="1" applyAlignment="1" applyProtection="1">
      <alignment horizontal="left" vertical="center"/>
      <protection hidden="1"/>
    </xf>
    <xf numFmtId="0" fontId="126" fillId="61" borderId="112" xfId="0" applyFont="1" applyFill="1" applyBorder="1" applyAlignment="1" applyProtection="1">
      <alignment horizontal="center" vertical="center"/>
      <protection hidden="1"/>
    </xf>
    <xf numFmtId="0" fontId="126" fillId="61" borderId="89" xfId="0" applyFont="1" applyFill="1" applyBorder="1" applyAlignment="1" applyProtection="1">
      <alignment horizontal="center" vertical="center"/>
      <protection hidden="1"/>
    </xf>
    <xf numFmtId="180" fontId="38" fillId="0" borderId="54" xfId="0" applyNumberFormat="1" applyFont="1" applyFill="1" applyBorder="1" applyAlignment="1" applyProtection="1">
      <alignment horizontal="left" wrapText="1"/>
      <protection locked="0"/>
    </xf>
    <xf numFmtId="183" fontId="37" fillId="27" borderId="239" xfId="0" applyNumberFormat="1" applyFont="1" applyFill="1" applyBorder="1" applyAlignment="1" applyProtection="1">
      <alignment horizontal="center" vertical="center"/>
      <protection hidden="1"/>
    </xf>
    <xf numFmtId="192" fontId="130" fillId="27" borderId="159" xfId="0" applyNumberFormat="1" applyFont="1" applyFill="1" applyBorder="1" applyAlignment="1" applyProtection="1">
      <alignment horizontal="center" vertical="center"/>
      <protection hidden="1"/>
    </xf>
    <xf numFmtId="183" fontId="37" fillId="0" borderId="63" xfId="0" applyNumberFormat="1" applyFont="1" applyFill="1" applyBorder="1" applyAlignment="1" applyProtection="1">
      <alignment horizontal="center" vertical="center"/>
      <protection locked="0"/>
    </xf>
    <xf numFmtId="0" fontId="172" fillId="27" borderId="52" xfId="0" applyFont="1" applyFill="1" applyBorder="1" applyAlignment="1" applyProtection="1">
      <alignment vertical="center"/>
      <protection hidden="1"/>
    </xf>
    <xf numFmtId="183" fontId="37" fillId="27" borderId="240" xfId="0" applyNumberFormat="1" applyFont="1" applyFill="1" applyBorder="1" applyAlignment="1" applyProtection="1">
      <alignment horizontal="center" vertical="center"/>
      <protection hidden="1"/>
    </xf>
    <xf numFmtId="183" fontId="37" fillId="27" borderId="136" xfId="0" applyNumberFormat="1" applyFont="1" applyFill="1" applyBorder="1" applyAlignment="1" applyProtection="1">
      <alignment horizontal="center" vertical="center"/>
      <protection hidden="1"/>
    </xf>
    <xf numFmtId="2" fontId="27" fillId="0" borderId="10" xfId="0" applyNumberFormat="1" applyFont="1" applyFill="1" applyBorder="1" applyAlignment="1" applyProtection="1">
      <alignment horizontal="center" vertical="justify"/>
      <protection hidden="1"/>
    </xf>
    <xf numFmtId="1" fontId="27" fillId="0" borderId="10" xfId="0" applyNumberFormat="1" applyFont="1" applyFill="1" applyBorder="1" applyAlignment="1" applyProtection="1">
      <alignment horizontal="center" vertical="justify"/>
      <protection hidden="1"/>
    </xf>
    <xf numFmtId="208" fontId="34" fillId="0" borderId="10" xfId="0" applyNumberFormat="1" applyFont="1" applyBorder="1" applyAlignment="1">
      <alignment vertical="top"/>
    </xf>
    <xf numFmtId="208" fontId="34" fillId="0" borderId="10" xfId="0" applyNumberFormat="1" applyFont="1" applyBorder="1" applyAlignment="1">
      <alignment horizontal="center"/>
    </xf>
    <xf numFmtId="208" fontId="34" fillId="0" borderId="26" xfId="0" applyNumberFormat="1" applyFont="1" applyBorder="1" applyAlignment="1">
      <alignment vertical="top"/>
    </xf>
    <xf numFmtId="208" fontId="34" fillId="0" borderId="50" xfId="0" applyNumberFormat="1" applyFont="1" applyBorder="1" applyAlignment="1">
      <alignment vertical="top"/>
    </xf>
    <xf numFmtId="208" fontId="34" fillId="0" borderId="27" xfId="0" applyNumberFormat="1" applyFont="1" applyBorder="1">
      <alignment vertical="center"/>
    </xf>
    <xf numFmtId="178" fontId="34" fillId="70" borderId="26" xfId="0" applyNumberFormat="1" applyFont="1" applyFill="1" applyBorder="1" applyAlignment="1" applyProtection="1">
      <alignment horizontal="center" vertical="center"/>
      <protection hidden="1"/>
    </xf>
    <xf numFmtId="177" fontId="34" fillId="27" borderId="10" xfId="44" applyNumberFormat="1" applyFont="1" applyFill="1" applyBorder="1" applyAlignment="1" applyProtection="1">
      <alignment vertical="center"/>
    </xf>
    <xf numFmtId="188" fontId="34" fillId="27" borderId="10" xfId="44" applyNumberFormat="1" applyFont="1" applyFill="1" applyBorder="1" applyAlignment="1" applyProtection="1">
      <alignment vertical="center"/>
    </xf>
    <xf numFmtId="0" fontId="0" fillId="27" borderId="0" xfId="0" applyFont="1" applyFill="1" applyBorder="1">
      <alignment vertical="center"/>
    </xf>
    <xf numFmtId="0" fontId="0" fillId="0" borderId="0" xfId="0" applyFont="1" applyFill="1" applyBorder="1" applyAlignment="1" applyProtection="1">
      <alignment horizontal="right" vertical="center"/>
    </xf>
    <xf numFmtId="0" fontId="0" fillId="58" borderId="205" xfId="0" applyFill="1" applyBorder="1" applyAlignment="1">
      <alignment vertical="center"/>
    </xf>
    <xf numFmtId="0" fontId="0" fillId="58" borderId="56" xfId="0" applyFill="1" applyBorder="1">
      <alignment vertical="center"/>
    </xf>
    <xf numFmtId="0" fontId="0" fillId="58" borderId="26" xfId="0" applyFill="1" applyBorder="1">
      <alignment vertical="center"/>
    </xf>
    <xf numFmtId="0" fontId="0" fillId="58" borderId="187" xfId="0" applyFill="1" applyBorder="1">
      <alignment vertical="center"/>
    </xf>
    <xf numFmtId="0" fontId="0" fillId="58" borderId="66" xfId="0" applyFill="1" applyBorder="1">
      <alignment vertical="center"/>
    </xf>
    <xf numFmtId="37" fontId="29" fillId="0" borderId="79" xfId="0" applyNumberFormat="1" applyFont="1" applyFill="1" applyBorder="1" applyAlignment="1" applyProtection="1">
      <alignment horizontal="left" vertical="center" shrinkToFit="1"/>
      <protection hidden="1"/>
    </xf>
    <xf numFmtId="0" fontId="34" fillId="0" borderId="53" xfId="44" applyFont="1" applyBorder="1" applyAlignment="1">
      <alignment horizontal="right"/>
    </xf>
    <xf numFmtId="209" fontId="34" fillId="0" borderId="10" xfId="44" applyNumberFormat="1" applyFont="1" applyBorder="1" applyAlignment="1"/>
    <xf numFmtId="209" fontId="34" fillId="0" borderId="0" xfId="44" applyNumberFormat="1" applyFont="1" applyBorder="1" applyAlignment="1"/>
    <xf numFmtId="0" fontId="29" fillId="0" borderId="10" xfId="44" applyFont="1" applyBorder="1" applyAlignment="1">
      <alignment horizontal="center"/>
    </xf>
    <xf numFmtId="0" fontId="34" fillId="0" borderId="10" xfId="44" applyFont="1" applyBorder="1" applyAlignment="1">
      <alignment horizontal="left" vertical="top"/>
    </xf>
    <xf numFmtId="0" fontId="192" fillId="27" borderId="0" xfId="0" applyFont="1" applyFill="1" applyBorder="1" applyProtection="1">
      <alignment vertical="center"/>
    </xf>
    <xf numFmtId="0" fontId="193" fillId="27" borderId="0" xfId="0" applyFont="1" applyFill="1" applyBorder="1" applyAlignment="1" applyProtection="1">
      <alignment horizontal="right" vertical="center"/>
    </xf>
    <xf numFmtId="178" fontId="192" fillId="58" borderId="144" xfId="0" applyNumberFormat="1" applyFont="1" applyFill="1" applyBorder="1" applyProtection="1">
      <alignment vertical="center"/>
      <protection locked="0"/>
    </xf>
    <xf numFmtId="0" fontId="29" fillId="27" borderId="10" xfId="0" applyFont="1" applyFill="1" applyBorder="1" applyAlignment="1" applyProtection="1">
      <alignment vertical="center" wrapText="1"/>
    </xf>
    <xf numFmtId="40" fontId="34" fillId="41" borderId="10" xfId="35" applyNumberFormat="1" applyFont="1" applyFill="1" applyBorder="1" applyAlignment="1" applyProtection="1">
      <alignment horizontal="right" vertical="center"/>
      <protection locked="0"/>
    </xf>
    <xf numFmtId="207" fontId="34" fillId="27" borderId="0" xfId="0" applyNumberFormat="1" applyFont="1" applyFill="1" applyBorder="1" applyProtection="1">
      <alignment vertical="center"/>
    </xf>
    <xf numFmtId="2" fontId="34" fillId="27" borderId="0" xfId="28" applyNumberFormat="1" applyFont="1" applyFill="1" applyBorder="1" applyProtection="1">
      <alignment vertical="center"/>
    </xf>
    <xf numFmtId="2" fontId="34" fillId="27" borderId="0" xfId="0" applyNumberFormat="1" applyFont="1" applyFill="1" applyBorder="1" applyProtection="1">
      <alignment vertical="center"/>
    </xf>
    <xf numFmtId="0" fontId="180" fillId="27" borderId="0" xfId="0" applyFont="1" applyFill="1" applyBorder="1" applyProtection="1">
      <alignment vertical="center"/>
    </xf>
    <xf numFmtId="207" fontId="34" fillId="58" borderId="10" xfId="0" applyNumberFormat="1" applyFont="1" applyFill="1" applyBorder="1" applyProtection="1">
      <alignment vertical="center"/>
      <protection locked="0"/>
    </xf>
    <xf numFmtId="0" fontId="29" fillId="27" borderId="0" xfId="0" applyFont="1" applyFill="1" applyBorder="1" applyAlignment="1" applyProtection="1">
      <alignment horizontal="left" vertical="center" wrapText="1"/>
    </xf>
    <xf numFmtId="2" fontId="126" fillId="50" borderId="10" xfId="35" applyNumberFormat="1" applyFont="1" applyFill="1" applyBorder="1" applyAlignment="1" applyProtection="1">
      <alignment horizontal="center" vertical="center"/>
      <protection hidden="1"/>
    </xf>
    <xf numFmtId="2" fontId="34" fillId="50" borderId="10" xfId="35" applyNumberFormat="1" applyFont="1" applyFill="1" applyBorder="1" applyAlignment="1" applyProtection="1">
      <alignment horizontal="center" vertical="center"/>
      <protection hidden="1"/>
    </xf>
    <xf numFmtId="2" fontId="165" fillId="50" borderId="27" xfId="35" applyNumberFormat="1" applyFont="1" applyFill="1" applyBorder="1" applyAlignment="1" applyProtection="1">
      <alignment horizontal="center" vertical="center"/>
      <protection hidden="1"/>
    </xf>
    <xf numFmtId="2" fontId="165" fillId="50" borderId="10" xfId="35" applyNumberFormat="1" applyFont="1" applyFill="1" applyBorder="1" applyAlignment="1" applyProtection="1">
      <alignment horizontal="center" vertical="center"/>
      <protection hidden="1"/>
    </xf>
    <xf numFmtId="0" fontId="29" fillId="58" borderId="10" xfId="0" applyFont="1" applyFill="1" applyBorder="1" applyAlignment="1" applyProtection="1">
      <alignment horizontal="center" vertical="center"/>
      <protection locked="0" hidden="1"/>
    </xf>
    <xf numFmtId="0" fontId="38" fillId="27" borderId="0" xfId="0" applyFont="1" applyFill="1" applyBorder="1" applyAlignment="1" applyProtection="1">
      <alignment horizontal="right" vertical="center"/>
    </xf>
    <xf numFmtId="0" fontId="30" fillId="0" borderId="65" xfId="0" applyFont="1" applyFill="1" applyBorder="1" applyAlignment="1" applyProtection="1">
      <alignment horizontal="left" vertical="top" wrapText="1"/>
      <protection hidden="1"/>
    </xf>
    <xf numFmtId="0" fontId="30" fillId="29" borderId="66" xfId="0" applyFont="1" applyFill="1" applyBorder="1" applyAlignment="1" applyProtection="1">
      <alignment horizontal="left" vertical="top" wrapText="1"/>
      <protection hidden="1"/>
    </xf>
    <xf numFmtId="0" fontId="30" fillId="29" borderId="84" xfId="0" applyFont="1" applyFill="1" applyBorder="1" applyAlignment="1" applyProtection="1">
      <alignment horizontal="left" vertical="top" wrapText="1"/>
      <protection hidden="1"/>
    </xf>
    <xf numFmtId="0" fontId="30" fillId="0" borderId="83" xfId="0" applyFont="1" applyFill="1" applyBorder="1" applyAlignment="1" applyProtection="1">
      <alignment horizontal="left" vertical="top" wrapText="1"/>
      <protection hidden="1"/>
    </xf>
    <xf numFmtId="0" fontId="30" fillId="29" borderId="67" xfId="0" applyFont="1" applyFill="1" applyBorder="1" applyAlignment="1" applyProtection="1">
      <alignment horizontal="left" vertical="top" wrapText="1"/>
      <protection hidden="1"/>
    </xf>
    <xf numFmtId="0" fontId="46" fillId="0" borderId="208" xfId="29" applyNumberFormat="1" applyFont="1" applyFill="1" applyBorder="1" applyAlignment="1" applyProtection="1">
      <alignment horizontal="center" vertical="center"/>
      <protection hidden="1"/>
    </xf>
    <xf numFmtId="0" fontId="46" fillId="0" borderId="209" xfId="29" applyNumberFormat="1" applyFont="1" applyFill="1" applyBorder="1" applyAlignment="1" applyProtection="1">
      <alignment horizontal="center" vertical="center"/>
      <protection hidden="1"/>
    </xf>
    <xf numFmtId="0" fontId="46" fillId="0" borderId="210" xfId="29" applyNumberFormat="1" applyFont="1" applyFill="1" applyBorder="1" applyAlignment="1" applyProtection="1">
      <alignment horizontal="center" vertical="center"/>
      <protection hidden="1"/>
    </xf>
    <xf numFmtId="0" fontId="37" fillId="0" borderId="0" xfId="0" applyFont="1" applyFill="1" applyBorder="1" applyAlignment="1" applyProtection="1">
      <alignment horizontal="left" shrinkToFit="1"/>
      <protection hidden="1"/>
    </xf>
    <xf numFmtId="0" fontId="0" fillId="0" borderId="0" xfId="0" applyAlignment="1">
      <alignment shrinkToFit="1"/>
    </xf>
    <xf numFmtId="0" fontId="0" fillId="0" borderId="0" xfId="0" applyAlignment="1">
      <alignment horizontal="left" shrinkToFit="1"/>
    </xf>
    <xf numFmtId="55" fontId="34" fillId="0" borderId="235" xfId="0" applyNumberFormat="1" applyFont="1" applyFill="1" applyBorder="1" applyAlignment="1" applyProtection="1">
      <alignment horizontal="left" vertical="center"/>
      <protection hidden="1"/>
    </xf>
    <xf numFmtId="0" fontId="0" fillId="0" borderId="53" xfId="0" applyBorder="1">
      <alignment vertical="center"/>
    </xf>
    <xf numFmtId="55" fontId="34" fillId="0" borderId="78" xfId="0" applyNumberFormat="1" applyFont="1" applyFill="1" applyBorder="1" applyAlignment="1" applyProtection="1">
      <alignment horizontal="left" vertical="center"/>
      <protection hidden="1"/>
    </xf>
    <xf numFmtId="0" fontId="0" fillId="0" borderId="57" xfId="0" applyBorder="1">
      <alignment vertical="center"/>
    </xf>
    <xf numFmtId="0" fontId="30" fillId="0" borderId="77" xfId="0" applyFont="1" applyFill="1" applyBorder="1" applyAlignment="1">
      <alignment horizontal="left" vertical="top" wrapText="1"/>
    </xf>
    <xf numFmtId="0" fontId="30" fillId="0" borderId="57" xfId="0" applyFont="1" applyFill="1" applyBorder="1" applyAlignment="1">
      <alignment horizontal="left" vertical="top" wrapText="1"/>
    </xf>
    <xf numFmtId="0" fontId="30" fillId="0" borderId="58" xfId="0" applyFont="1" applyFill="1" applyBorder="1" applyAlignment="1">
      <alignment horizontal="left" vertical="top" wrapText="1"/>
    </xf>
    <xf numFmtId="0" fontId="30" fillId="0" borderId="57" xfId="0" applyFont="1" applyFill="1" applyBorder="1" applyAlignment="1" applyProtection="1">
      <alignment horizontal="left" vertical="top" wrapText="1"/>
      <protection hidden="1"/>
    </xf>
    <xf numFmtId="0" fontId="30" fillId="29" borderId="57" xfId="0" applyFont="1" applyFill="1" applyBorder="1" applyAlignment="1" applyProtection="1">
      <alignment horizontal="left" vertical="top" wrapText="1"/>
      <protection hidden="1"/>
    </xf>
    <xf numFmtId="0" fontId="30" fillId="29" borderId="79" xfId="0" applyFont="1" applyFill="1" applyBorder="1" applyAlignment="1" applyProtection="1">
      <alignment horizontal="left" vertical="top" wrapText="1"/>
      <protection hidden="1"/>
    </xf>
    <xf numFmtId="0" fontId="30" fillId="0" borderId="77" xfId="0" applyFont="1" applyFill="1" applyBorder="1" applyAlignment="1" applyProtection="1">
      <alignment horizontal="left" vertical="top" wrapText="1"/>
      <protection hidden="1"/>
    </xf>
    <xf numFmtId="0" fontId="30" fillId="29" borderId="58" xfId="0" applyFont="1" applyFill="1" applyBorder="1" applyAlignment="1" applyProtection="1">
      <alignment horizontal="left" vertical="top" wrapText="1"/>
      <protection hidden="1"/>
    </xf>
    <xf numFmtId="0" fontId="30" fillId="0" borderId="56" xfId="0" applyFont="1" applyFill="1" applyBorder="1" applyAlignment="1" applyProtection="1">
      <alignment horizontal="left" vertical="top" wrapText="1"/>
      <protection hidden="1"/>
    </xf>
    <xf numFmtId="0" fontId="34" fillId="0" borderId="26" xfId="0" applyFont="1" applyFill="1" applyBorder="1" applyAlignment="1" applyProtection="1">
      <alignment horizontal="left" vertical="center" shrinkToFit="1"/>
      <protection locked="0"/>
    </xf>
    <xf numFmtId="0" fontId="34" fillId="0" borderId="50" xfId="0" applyFont="1" applyFill="1" applyBorder="1" applyAlignment="1" applyProtection="1">
      <alignment horizontal="left" vertical="center" shrinkToFit="1"/>
      <protection locked="0"/>
    </xf>
    <xf numFmtId="0" fontId="34" fillId="0" borderId="27" xfId="0" applyFont="1" applyFill="1" applyBorder="1" applyAlignment="1" applyProtection="1">
      <alignment horizontal="left" vertical="center" shrinkToFit="1"/>
      <protection locked="0"/>
    </xf>
    <xf numFmtId="0" fontId="34" fillId="0" borderId="26" xfId="0" applyFont="1" applyFill="1" applyBorder="1" applyAlignment="1" applyProtection="1">
      <alignment horizontal="left" vertical="center"/>
      <protection locked="0"/>
    </xf>
    <xf numFmtId="0" fontId="34" fillId="0" borderId="50" xfId="0" applyFont="1" applyFill="1" applyBorder="1" applyAlignment="1" applyProtection="1">
      <alignment horizontal="left" vertical="center"/>
      <protection locked="0"/>
    </xf>
    <xf numFmtId="0" fontId="34" fillId="29" borderId="27" xfId="0" applyFont="1" applyFill="1" applyBorder="1" applyAlignment="1" applyProtection="1">
      <alignment horizontal="left" vertical="center"/>
      <protection locked="0"/>
    </xf>
    <xf numFmtId="0" fontId="34" fillId="27" borderId="26" xfId="0" applyFont="1" applyFill="1" applyBorder="1" applyAlignment="1" applyProtection="1">
      <alignment horizontal="left" vertical="center" shrinkToFit="1"/>
    </xf>
    <xf numFmtId="0" fontId="34" fillId="27" borderId="50" xfId="0" applyFont="1" applyFill="1" applyBorder="1" applyAlignment="1" applyProtection="1">
      <alignment horizontal="left" vertical="center" shrinkToFit="1"/>
    </xf>
    <xf numFmtId="0" fontId="34" fillId="27" borderId="27" xfId="0" applyFont="1" applyFill="1" applyBorder="1" applyAlignment="1" applyProtection="1">
      <alignment horizontal="left" vertical="center" shrinkToFit="1"/>
    </xf>
    <xf numFmtId="0" fontId="68" fillId="0" borderId="62" xfId="0" applyFont="1" applyFill="1" applyBorder="1" applyAlignment="1" applyProtection="1">
      <alignment horizontal="left" vertical="center" wrapText="1"/>
      <protection hidden="1"/>
    </xf>
    <xf numFmtId="0" fontId="68" fillId="0" borderId="0" xfId="0" applyFont="1" applyFill="1" applyBorder="1" applyAlignment="1" applyProtection="1">
      <alignment horizontal="left" vertical="center" wrapText="1"/>
      <protection hidden="1"/>
    </xf>
    <xf numFmtId="0" fontId="68" fillId="0" borderId="63" xfId="0" applyFont="1" applyFill="1" applyBorder="1" applyAlignment="1" applyProtection="1">
      <alignment horizontal="left" vertical="center" wrapText="1"/>
      <protection hidden="1"/>
    </xf>
    <xf numFmtId="0" fontId="68" fillId="0" borderId="65" xfId="0" applyFont="1" applyFill="1" applyBorder="1" applyAlignment="1" applyProtection="1">
      <alignment horizontal="left" vertical="center" wrapText="1"/>
      <protection hidden="1"/>
    </xf>
    <xf numFmtId="0" fontId="68" fillId="0" borderId="66" xfId="0" applyFont="1" applyFill="1" applyBorder="1" applyAlignment="1" applyProtection="1">
      <alignment horizontal="left" vertical="center" wrapText="1"/>
      <protection hidden="1"/>
    </xf>
    <xf numFmtId="0" fontId="68" fillId="0" borderId="67" xfId="0" applyFont="1" applyFill="1" applyBorder="1" applyAlignment="1" applyProtection="1">
      <alignment horizontal="left" vertical="center" wrapText="1"/>
      <protection hidden="1"/>
    </xf>
    <xf numFmtId="180" fontId="29" fillId="0" borderId="62" xfId="0" applyNumberFormat="1" applyFont="1" applyFill="1" applyBorder="1" applyAlignment="1" applyProtection="1">
      <alignment horizontal="left" vertical="top" wrapText="1"/>
      <protection locked="0"/>
    </xf>
    <xf numFmtId="180" fontId="29" fillId="0" borderId="0" xfId="0" applyNumberFormat="1" applyFont="1" applyFill="1" applyBorder="1" applyAlignment="1" applyProtection="1">
      <alignment horizontal="left" vertical="top" wrapText="1"/>
      <protection locked="0"/>
    </xf>
    <xf numFmtId="180" fontId="29" fillId="0" borderId="63" xfId="0" applyNumberFormat="1" applyFont="1" applyFill="1" applyBorder="1" applyAlignment="1" applyProtection="1">
      <alignment horizontal="left" vertical="top" wrapText="1"/>
      <protection locked="0"/>
    </xf>
    <xf numFmtId="0" fontId="34" fillId="27" borderId="50" xfId="0" applyFont="1" applyFill="1" applyBorder="1" applyAlignment="1" applyProtection="1">
      <alignment vertical="center" shrinkToFit="1"/>
      <protection hidden="1"/>
    </xf>
    <xf numFmtId="0" fontId="0" fillId="0" borderId="50" xfId="0" applyBorder="1" applyAlignment="1">
      <alignment vertical="center" shrinkToFit="1"/>
    </xf>
    <xf numFmtId="0" fontId="64" fillId="37" borderId="69" xfId="0" applyFont="1" applyFill="1" applyBorder="1" applyAlignment="1" applyProtection="1">
      <alignment horizontal="center" vertical="center"/>
      <protection hidden="1"/>
    </xf>
    <xf numFmtId="0" fontId="64" fillId="37" borderId="71" xfId="0" applyFont="1" applyFill="1" applyBorder="1" applyAlignment="1" applyProtection="1">
      <alignment horizontal="center" vertical="center"/>
      <protection hidden="1"/>
    </xf>
    <xf numFmtId="0" fontId="30" fillId="27" borderId="52" xfId="0" applyFont="1" applyFill="1" applyBorder="1" applyAlignment="1" applyProtection="1">
      <alignment horizontal="center" vertical="center" wrapText="1"/>
      <protection hidden="1"/>
    </xf>
    <xf numFmtId="0" fontId="50" fillId="27" borderId="54" xfId="0" applyFont="1" applyFill="1" applyBorder="1" applyAlignment="1">
      <alignment horizontal="center" vertical="center" wrapText="1"/>
    </xf>
    <xf numFmtId="0" fontId="50" fillId="27" borderId="56" xfId="0" applyFont="1" applyFill="1" applyBorder="1" applyAlignment="1">
      <alignment horizontal="center" vertical="center" wrapText="1"/>
    </xf>
    <xf numFmtId="0" fontId="50" fillId="27" borderId="58" xfId="0" applyFont="1" applyFill="1" applyBorder="1" applyAlignment="1">
      <alignment horizontal="center" vertical="center" wrapText="1"/>
    </xf>
    <xf numFmtId="180" fontId="29" fillId="0" borderId="89" xfId="0" applyNumberFormat="1" applyFont="1" applyFill="1" applyBorder="1" applyAlignment="1" applyProtection="1">
      <alignment horizontal="left" vertical="top" wrapText="1"/>
      <protection locked="0"/>
    </xf>
    <xf numFmtId="180" fontId="29" fillId="0" borderId="53" xfId="0" applyNumberFormat="1" applyFont="1" applyFill="1" applyBorder="1" applyAlignment="1" applyProtection="1">
      <alignment horizontal="left" vertical="top" wrapText="1"/>
      <protection locked="0"/>
    </xf>
    <xf numFmtId="180" fontId="29" fillId="0" borderId="90" xfId="0" applyNumberFormat="1" applyFont="1" applyFill="1" applyBorder="1" applyAlignment="1" applyProtection="1">
      <alignment horizontal="left" vertical="top" wrapText="1"/>
      <protection locked="0"/>
    </xf>
    <xf numFmtId="180" fontId="27" fillId="27" borderId="68" xfId="0" applyNumberFormat="1" applyFont="1" applyFill="1" applyBorder="1" applyAlignment="1" applyProtection="1">
      <alignment horizontal="center" vertical="center" wrapText="1"/>
      <protection hidden="1"/>
    </xf>
    <xf numFmtId="180" fontId="27" fillId="27" borderId="71" xfId="0" applyNumberFormat="1" applyFont="1" applyFill="1" applyBorder="1" applyAlignment="1" applyProtection="1">
      <alignment horizontal="center" vertical="center" wrapText="1"/>
      <protection hidden="1"/>
    </xf>
    <xf numFmtId="0" fontId="34" fillId="27" borderId="26" xfId="0" applyFont="1" applyFill="1" applyBorder="1" applyAlignment="1" applyProtection="1">
      <alignment vertical="center" shrinkToFit="1"/>
      <protection hidden="1"/>
    </xf>
    <xf numFmtId="0" fontId="0" fillId="0" borderId="82" xfId="0" applyBorder="1" applyAlignment="1">
      <alignment vertical="center" shrinkToFit="1"/>
    </xf>
    <xf numFmtId="180" fontId="29" fillId="0" borderId="77" xfId="0" applyNumberFormat="1" applyFont="1" applyFill="1" applyBorder="1" applyAlignment="1" applyProtection="1">
      <alignment horizontal="left" vertical="top" wrapText="1"/>
      <protection locked="0"/>
    </xf>
    <xf numFmtId="180" fontId="29" fillId="0" borderId="57" xfId="0" applyNumberFormat="1" applyFont="1" applyFill="1" applyBorder="1" applyAlignment="1" applyProtection="1">
      <alignment horizontal="left" vertical="top" wrapText="1"/>
      <protection locked="0"/>
    </xf>
    <xf numFmtId="180" fontId="29" fillId="0" borderId="79" xfId="0" applyNumberFormat="1" applyFont="1" applyFill="1" applyBorder="1" applyAlignment="1" applyProtection="1">
      <alignment horizontal="left" vertical="top" wrapText="1"/>
      <protection locked="0"/>
    </xf>
    <xf numFmtId="0" fontId="34" fillId="27" borderId="52" xfId="0" applyNumberFormat="1" applyFont="1" applyFill="1" applyBorder="1" applyAlignment="1" applyProtection="1">
      <alignment horizontal="left" vertical="center" shrinkToFit="1"/>
      <protection hidden="1"/>
    </xf>
    <xf numFmtId="0" fontId="0" fillId="0" borderId="90" xfId="0" applyBorder="1" applyAlignment="1">
      <alignment vertical="center" shrinkToFit="1"/>
    </xf>
    <xf numFmtId="0" fontId="34" fillId="27" borderId="26" xfId="0" applyNumberFormat="1" applyFont="1" applyFill="1" applyBorder="1" applyAlignment="1" applyProtection="1">
      <alignment horizontal="left" vertical="center" shrinkToFit="1"/>
      <protection hidden="1"/>
    </xf>
    <xf numFmtId="0" fontId="97" fillId="0" borderId="65" xfId="0" applyNumberFormat="1" applyFont="1" applyFill="1" applyBorder="1" applyAlignment="1" applyProtection="1">
      <alignment vertical="center" shrinkToFit="1"/>
      <protection hidden="1"/>
    </xf>
    <xf numFmtId="0" fontId="0" fillId="0" borderId="66" xfId="0" applyBorder="1" applyAlignment="1">
      <alignment vertical="center" shrinkToFit="1"/>
    </xf>
    <xf numFmtId="0" fontId="0" fillId="0" borderId="67" xfId="0" applyBorder="1" applyAlignment="1">
      <alignment vertical="center" shrinkToFit="1"/>
    </xf>
    <xf numFmtId="180" fontId="29" fillId="0" borderId="80" xfId="0" applyNumberFormat="1" applyFont="1" applyFill="1" applyBorder="1" applyAlignment="1" applyProtection="1">
      <alignment horizontal="left" vertical="top" wrapText="1"/>
      <protection locked="0"/>
    </xf>
    <xf numFmtId="180" fontId="29" fillId="0" borderId="50" xfId="0" applyNumberFormat="1" applyFont="1" applyFill="1" applyBorder="1" applyAlignment="1" applyProtection="1">
      <alignment horizontal="left" vertical="top" wrapText="1"/>
      <protection locked="0"/>
    </xf>
    <xf numFmtId="180" fontId="29" fillId="0" borderId="82" xfId="0" applyNumberFormat="1" applyFont="1" applyFill="1" applyBorder="1" applyAlignment="1" applyProtection="1">
      <alignment horizontal="left" vertical="top" wrapText="1"/>
      <protection locked="0"/>
    </xf>
    <xf numFmtId="180" fontId="29" fillId="0" borderId="50" xfId="0" applyNumberFormat="1" applyFont="1" applyFill="1" applyBorder="1" applyAlignment="1" applyProtection="1">
      <alignment horizontal="left" vertical="center" wrapText="1"/>
      <protection locked="0"/>
    </xf>
    <xf numFmtId="180" fontId="29" fillId="0" borderId="82" xfId="0" applyNumberFormat="1" applyFont="1" applyFill="1" applyBorder="1" applyAlignment="1" applyProtection="1">
      <alignment horizontal="left" vertical="center" wrapText="1"/>
      <protection locked="0"/>
    </xf>
    <xf numFmtId="0" fontId="0" fillId="58" borderId="202" xfId="0" applyFill="1" applyBorder="1" applyAlignment="1" applyProtection="1">
      <alignment horizontal="left" vertical="top" wrapText="1"/>
      <protection locked="0"/>
    </xf>
    <xf numFmtId="0" fontId="0" fillId="0" borderId="203" xfId="0" applyBorder="1" applyAlignment="1" applyProtection="1">
      <alignment horizontal="left" vertical="top" wrapText="1"/>
      <protection locked="0"/>
    </xf>
    <xf numFmtId="0" fontId="0" fillId="58" borderId="206" xfId="0" applyFill="1" applyBorder="1" applyAlignment="1" applyProtection="1">
      <alignment horizontal="left" vertical="top" wrapText="1"/>
      <protection locked="0"/>
    </xf>
    <xf numFmtId="0" fontId="0" fillId="58" borderId="204" xfId="0" applyFill="1" applyBorder="1" applyAlignment="1" applyProtection="1">
      <alignment horizontal="left" vertical="top" wrapText="1"/>
      <protection locked="0"/>
    </xf>
    <xf numFmtId="0" fontId="0" fillId="58" borderId="50" xfId="0" applyFill="1"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0" fillId="58" borderId="188" xfId="0" applyFill="1" applyBorder="1" applyAlignment="1" applyProtection="1">
      <alignment horizontal="left" vertical="top" wrapText="1"/>
      <protection locked="0"/>
    </xf>
    <xf numFmtId="0" fontId="0" fillId="0" borderId="201" xfId="0" applyBorder="1" applyAlignment="1" applyProtection="1">
      <alignment horizontal="left" vertical="top" wrapText="1"/>
      <protection locked="0"/>
    </xf>
    <xf numFmtId="0" fontId="0" fillId="27" borderId="0" xfId="0" applyFont="1" applyFill="1" applyBorder="1" applyAlignment="1">
      <alignment horizontal="left" vertical="top" wrapText="1"/>
    </xf>
    <xf numFmtId="0" fontId="7" fillId="27" borderId="0" xfId="0" applyFont="1" applyFill="1" applyBorder="1" applyAlignment="1">
      <alignment horizontal="left" vertical="top" wrapText="1"/>
    </xf>
    <xf numFmtId="0" fontId="29" fillId="27" borderId="51" xfId="0" applyFont="1" applyFill="1" applyBorder="1" applyAlignment="1" applyProtection="1">
      <alignment horizontal="left" vertical="top" wrapText="1"/>
    </xf>
    <xf numFmtId="0" fontId="29" fillId="27" borderId="55" xfId="0" applyFont="1" applyFill="1" applyBorder="1" applyAlignment="1" applyProtection="1">
      <alignment horizontal="left" vertical="top" wrapText="1"/>
    </xf>
    <xf numFmtId="0" fontId="29" fillId="27" borderId="15" xfId="0" applyFont="1" applyFill="1" applyBorder="1" applyAlignment="1" applyProtection="1">
      <alignment horizontal="left" vertical="center"/>
    </xf>
    <xf numFmtId="0" fontId="29" fillId="27" borderId="55" xfId="0" applyFont="1" applyFill="1" applyBorder="1" applyAlignment="1" applyProtection="1">
      <alignment horizontal="left" vertical="center"/>
    </xf>
    <xf numFmtId="0" fontId="29" fillId="31" borderId="26" xfId="0" applyFont="1" applyFill="1" applyBorder="1" applyAlignment="1" applyProtection="1">
      <alignment horizontal="center" vertical="center"/>
      <protection hidden="1"/>
    </xf>
    <xf numFmtId="0" fontId="29" fillId="31" borderId="27" xfId="0" applyFont="1" applyFill="1" applyBorder="1" applyAlignment="1" applyProtection="1">
      <alignment horizontal="center" vertical="center"/>
      <protection hidden="1"/>
    </xf>
    <xf numFmtId="0" fontId="29" fillId="27" borderId="162" xfId="0" applyFont="1" applyFill="1" applyBorder="1" applyAlignment="1" applyProtection="1">
      <alignment horizontal="left" vertical="center" wrapText="1"/>
      <protection hidden="1"/>
    </xf>
    <xf numFmtId="0" fontId="7" fillId="38" borderId="163" xfId="0" applyFont="1" applyFill="1" applyBorder="1" applyAlignment="1">
      <alignment horizontal="left" vertical="center" wrapText="1"/>
    </xf>
    <xf numFmtId="0" fontId="29" fillId="27" borderId="167" xfId="0" applyFont="1" applyFill="1" applyBorder="1" applyAlignment="1" applyProtection="1">
      <alignment horizontal="left" vertical="center" wrapText="1"/>
      <protection hidden="1"/>
    </xf>
    <xf numFmtId="0" fontId="7" fillId="38" borderId="168" xfId="0" applyFont="1" applyFill="1" applyBorder="1" applyAlignment="1">
      <alignment horizontal="left" vertical="center" wrapText="1"/>
    </xf>
    <xf numFmtId="0" fontId="29" fillId="27" borderId="12" xfId="0" applyFont="1" applyFill="1" applyBorder="1" applyAlignment="1" applyProtection="1">
      <alignment horizontal="left" vertical="center" wrapText="1"/>
      <protection hidden="1"/>
    </xf>
    <xf numFmtId="0" fontId="7" fillId="38" borderId="14" xfId="0" applyFont="1" applyFill="1" applyBorder="1" applyAlignment="1">
      <alignment horizontal="left" vertical="center" wrapText="1"/>
    </xf>
    <xf numFmtId="0" fontId="29" fillId="27" borderId="164" xfId="0" applyFont="1" applyFill="1" applyBorder="1" applyAlignment="1" applyProtection="1">
      <alignment horizontal="left" vertical="center" wrapText="1"/>
      <protection hidden="1"/>
    </xf>
    <xf numFmtId="0" fontId="29" fillId="31" borderId="26" xfId="0" applyFont="1" applyFill="1" applyBorder="1" applyAlignment="1" applyProtection="1">
      <alignment horizontal="center" vertical="center" shrinkToFit="1"/>
      <protection hidden="1"/>
    </xf>
    <xf numFmtId="0" fontId="7" fillId="0" borderId="82" xfId="0" applyFont="1" applyBorder="1" applyAlignment="1">
      <alignment horizontal="center" vertical="center" shrinkToFit="1"/>
    </xf>
    <xf numFmtId="0" fontId="7" fillId="38" borderId="169" xfId="0" applyFont="1" applyFill="1" applyBorder="1" applyAlignment="1">
      <alignment horizontal="left" vertical="center" wrapText="1"/>
    </xf>
    <xf numFmtId="0" fontId="7" fillId="38" borderId="13" xfId="0" applyFont="1" applyFill="1" applyBorder="1" applyAlignment="1">
      <alignment horizontal="left" vertical="center" wrapText="1"/>
    </xf>
    <xf numFmtId="0" fontId="38" fillId="27" borderId="26" xfId="0" applyFont="1" applyFill="1" applyBorder="1" applyAlignment="1" applyProtection="1">
      <alignment horizontal="left" vertical="center" wrapText="1"/>
      <protection hidden="1"/>
    </xf>
    <xf numFmtId="0" fontId="7" fillId="38" borderId="27" xfId="0" applyFont="1" applyFill="1" applyBorder="1" applyAlignment="1">
      <alignment horizontal="left" vertical="center" wrapText="1"/>
    </xf>
    <xf numFmtId="0" fontId="38" fillId="27" borderId="50" xfId="0" applyFont="1" applyFill="1" applyBorder="1" applyAlignment="1" applyProtection="1">
      <alignment horizontal="left" vertical="center" wrapText="1"/>
      <protection hidden="1"/>
    </xf>
    <xf numFmtId="0" fontId="7" fillId="27" borderId="27" xfId="0" applyFont="1" applyFill="1" applyBorder="1" applyAlignment="1">
      <alignment horizontal="left" vertical="center" wrapText="1"/>
    </xf>
    <xf numFmtId="0" fontId="38" fillId="27" borderId="80" xfId="0" applyFont="1" applyFill="1" applyBorder="1" applyAlignment="1" applyProtection="1">
      <alignment horizontal="left" vertical="center" wrapText="1"/>
      <protection hidden="1"/>
    </xf>
    <xf numFmtId="0" fontId="38" fillId="27" borderId="27" xfId="0" applyFont="1" applyFill="1" applyBorder="1" applyAlignment="1" applyProtection="1">
      <alignment horizontal="left" vertical="center" wrapText="1"/>
      <protection hidden="1"/>
    </xf>
    <xf numFmtId="0" fontId="29" fillId="27" borderId="162" xfId="0" applyFont="1" applyFill="1" applyBorder="1" applyAlignment="1">
      <alignment horizontal="left" vertical="center" wrapText="1"/>
    </xf>
    <xf numFmtId="0" fontId="7" fillId="38" borderId="164" xfId="0" applyFont="1" applyFill="1" applyBorder="1" applyAlignment="1">
      <alignment horizontal="left" vertical="center" wrapText="1"/>
    </xf>
    <xf numFmtId="0" fontId="27" fillId="31" borderId="15" xfId="0" applyFont="1" applyFill="1" applyBorder="1" applyAlignment="1" applyProtection="1">
      <alignment horizontal="center" vertical="center"/>
      <protection hidden="1"/>
    </xf>
    <xf numFmtId="0" fontId="29" fillId="27" borderId="163"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9" fillId="27" borderId="12" xfId="0" applyFont="1" applyFill="1" applyBorder="1" applyAlignment="1">
      <alignment horizontal="left" vertical="center" wrapText="1"/>
    </xf>
    <xf numFmtId="0" fontId="29" fillId="27" borderId="167" xfId="0" applyFont="1" applyFill="1" applyBorder="1" applyAlignment="1">
      <alignment horizontal="left" vertical="center" wrapText="1"/>
    </xf>
    <xf numFmtId="0" fontId="7" fillId="0" borderId="169" xfId="0" applyFont="1" applyBorder="1" applyAlignment="1">
      <alignment horizontal="left" vertical="center" wrapText="1"/>
    </xf>
    <xf numFmtId="0" fontId="7" fillId="0" borderId="168" xfId="0" applyFont="1" applyBorder="1" applyAlignment="1">
      <alignment horizontal="left" vertical="center" wrapText="1"/>
    </xf>
    <xf numFmtId="0" fontId="29" fillId="27" borderId="169" xfId="0" applyFont="1" applyFill="1" applyBorder="1" applyAlignment="1" applyProtection="1">
      <alignment horizontal="left" vertical="center" wrapText="1"/>
      <protection hidden="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29" fillId="27" borderId="167" xfId="0" applyFont="1" applyFill="1" applyBorder="1" applyAlignment="1" applyProtection="1">
      <alignment vertical="center" wrapText="1"/>
      <protection hidden="1"/>
    </xf>
    <xf numFmtId="0" fontId="7" fillId="0" borderId="169" xfId="0" applyFont="1" applyBorder="1" applyAlignment="1">
      <alignment vertical="center" wrapText="1"/>
    </xf>
    <xf numFmtId="0" fontId="7" fillId="0" borderId="168" xfId="0" applyFont="1" applyBorder="1" applyAlignment="1">
      <alignment vertical="center" wrapText="1"/>
    </xf>
    <xf numFmtId="0" fontId="29" fillId="27" borderId="168" xfId="0" applyFont="1" applyFill="1" applyBorder="1" applyAlignment="1" applyProtection="1">
      <alignment horizontal="left" vertical="center" wrapText="1"/>
      <protection hidden="1"/>
    </xf>
    <xf numFmtId="0" fontId="38" fillId="27" borderId="212" xfId="0" applyFont="1" applyFill="1" applyBorder="1" applyAlignment="1" applyProtection="1">
      <alignment horizontal="left" vertical="center" wrapText="1"/>
      <protection hidden="1"/>
    </xf>
    <xf numFmtId="0" fontId="38" fillId="38" borderId="164" xfId="0" applyFont="1" applyFill="1" applyBorder="1" applyAlignment="1">
      <alignment horizontal="left" vertical="center" wrapText="1"/>
    </xf>
    <xf numFmtId="0" fontId="38" fillId="27" borderId="181" xfId="0" applyFont="1" applyFill="1" applyBorder="1" applyAlignment="1" applyProtection="1">
      <alignment horizontal="left" vertical="center" wrapText="1"/>
      <protection hidden="1"/>
    </xf>
    <xf numFmtId="0" fontId="38" fillId="38" borderId="14" xfId="0" applyFont="1" applyFill="1" applyBorder="1" applyAlignment="1">
      <alignment horizontal="left" vertical="center" wrapText="1"/>
    </xf>
    <xf numFmtId="0" fontId="29" fillId="0" borderId="53" xfId="0" applyFont="1" applyBorder="1" applyAlignment="1">
      <alignment horizontal="left" vertical="center" wrapText="1"/>
    </xf>
    <xf numFmtId="0" fontId="29" fillId="27" borderId="12" xfId="0" applyFont="1" applyFill="1" applyBorder="1" applyAlignment="1" applyProtection="1">
      <alignment vertical="center" wrapText="1"/>
      <protection hidden="1"/>
    </xf>
    <xf numFmtId="0" fontId="7" fillId="38" borderId="13" xfId="0" applyFont="1" applyFill="1" applyBorder="1" applyAlignment="1">
      <alignment vertical="center" wrapText="1"/>
    </xf>
    <xf numFmtId="0" fontId="7" fillId="38" borderId="14" xfId="0" applyFont="1" applyFill="1" applyBorder="1" applyAlignment="1">
      <alignment vertical="center" wrapText="1"/>
    </xf>
    <xf numFmtId="0" fontId="38" fillId="27" borderId="211" xfId="0" applyFont="1" applyFill="1" applyBorder="1" applyAlignment="1" applyProtection="1">
      <alignment horizontal="left" vertical="center" wrapText="1"/>
      <protection hidden="1"/>
    </xf>
    <xf numFmtId="0" fontId="38" fillId="38" borderId="168" xfId="0" applyFont="1" applyFill="1" applyBorder="1" applyAlignment="1">
      <alignment horizontal="left" vertical="center" wrapText="1"/>
    </xf>
    <xf numFmtId="0" fontId="29" fillId="31" borderId="27" xfId="0" applyFont="1" applyFill="1" applyBorder="1" applyAlignment="1" applyProtection="1">
      <alignment horizontal="center" vertical="center" wrapText="1"/>
      <protection hidden="1"/>
    </xf>
    <xf numFmtId="0" fontId="29" fillId="31" borderId="10" xfId="0" applyFont="1" applyFill="1" applyBorder="1" applyAlignment="1" applyProtection="1">
      <alignment horizontal="center" vertical="center" wrapText="1"/>
      <protection hidden="1"/>
    </xf>
    <xf numFmtId="0" fontId="29" fillId="27" borderId="167" xfId="0" applyFont="1" applyFill="1" applyBorder="1" applyAlignment="1" applyProtection="1">
      <alignment horizontal="left" vertical="center" shrinkToFit="1"/>
      <protection hidden="1"/>
    </xf>
    <xf numFmtId="0" fontId="7" fillId="38" borderId="169" xfId="0" applyFont="1" applyFill="1" applyBorder="1" applyAlignment="1">
      <alignment horizontal="left" vertical="center" shrinkToFit="1"/>
    </xf>
    <xf numFmtId="0" fontId="7" fillId="38" borderId="168" xfId="0" applyFont="1" applyFill="1" applyBorder="1" applyAlignment="1">
      <alignment horizontal="left" vertical="center" shrinkToFit="1"/>
    </xf>
    <xf numFmtId="0" fontId="29" fillId="27" borderId="14" xfId="0" applyFont="1" applyFill="1" applyBorder="1" applyAlignment="1" applyProtection="1">
      <alignment horizontal="left" vertical="center" wrapText="1"/>
      <protection hidden="1"/>
    </xf>
    <xf numFmtId="0" fontId="7" fillId="38" borderId="169" xfId="0" applyFont="1" applyFill="1" applyBorder="1" applyAlignment="1">
      <alignment vertical="center" wrapText="1"/>
    </xf>
    <xf numFmtId="0" fontId="7" fillId="38" borderId="168" xfId="0" applyFont="1" applyFill="1" applyBorder="1" applyAlignment="1">
      <alignment vertical="center" wrapText="1"/>
    </xf>
    <xf numFmtId="0" fontId="7" fillId="38" borderId="164" xfId="0" applyFont="1" applyFill="1" applyBorder="1">
      <alignment vertical="center"/>
    </xf>
    <xf numFmtId="0" fontId="7" fillId="38" borderId="14" xfId="0" applyFont="1" applyFill="1" applyBorder="1">
      <alignment vertical="center"/>
    </xf>
    <xf numFmtId="0" fontId="7" fillId="38" borderId="168" xfId="0" applyFont="1" applyFill="1" applyBorder="1">
      <alignment vertical="center"/>
    </xf>
    <xf numFmtId="0" fontId="29" fillId="31" borderId="80" xfId="0" applyFont="1" applyFill="1" applyBorder="1" applyAlignment="1" applyProtection="1">
      <alignment horizontal="center" vertical="center" wrapText="1"/>
      <protection hidden="1"/>
    </xf>
    <xf numFmtId="0" fontId="29" fillId="67" borderId="12" xfId="0" applyFont="1" applyFill="1" applyBorder="1" applyAlignment="1" applyProtection="1">
      <alignment horizontal="left" vertical="center" wrapText="1"/>
      <protection hidden="1"/>
    </xf>
    <xf numFmtId="0" fontId="7" fillId="68" borderId="14" xfId="0" applyFont="1" applyFill="1" applyBorder="1" applyAlignment="1">
      <alignment horizontal="left" vertical="center" wrapText="1"/>
    </xf>
    <xf numFmtId="0" fontId="29" fillId="67" borderId="14" xfId="0" applyFont="1" applyFill="1" applyBorder="1" applyAlignment="1" applyProtection="1">
      <alignment horizontal="left" vertical="center" wrapText="1"/>
      <protection hidden="1"/>
    </xf>
    <xf numFmtId="0" fontId="29" fillId="67" borderId="162" xfId="0" applyFont="1" applyFill="1" applyBorder="1" applyAlignment="1" applyProtection="1">
      <alignment horizontal="left" vertical="center" wrapText="1"/>
      <protection hidden="1"/>
    </xf>
    <xf numFmtId="0" fontId="7" fillId="68" borderId="164" xfId="0" applyFont="1" applyFill="1" applyBorder="1" applyAlignment="1">
      <alignment horizontal="left" vertical="center" wrapText="1"/>
    </xf>
    <xf numFmtId="0" fontId="29" fillId="67" borderId="164" xfId="0" applyFont="1" applyFill="1" applyBorder="1" applyAlignment="1" applyProtection="1">
      <alignment horizontal="left" vertical="center" wrapText="1"/>
      <protection hidden="1"/>
    </xf>
    <xf numFmtId="0" fontId="29" fillId="67" borderId="167" xfId="0" applyFont="1" applyFill="1" applyBorder="1" applyAlignment="1" applyProtection="1">
      <alignment horizontal="left" vertical="center" wrapText="1"/>
      <protection hidden="1"/>
    </xf>
    <xf numFmtId="0" fontId="7" fillId="68" borderId="168" xfId="0" applyFont="1" applyFill="1" applyBorder="1" applyAlignment="1">
      <alignment horizontal="left" vertical="center" wrapText="1"/>
    </xf>
    <xf numFmtId="0" fontId="29" fillId="67" borderId="168" xfId="0" applyFont="1" applyFill="1" applyBorder="1" applyAlignment="1" applyProtection="1">
      <alignment horizontal="left" vertical="center" wrapText="1"/>
      <protection hidden="1"/>
    </xf>
    <xf numFmtId="0" fontId="29" fillId="27" borderId="12" xfId="0" applyFont="1" applyFill="1" applyBorder="1" applyAlignment="1" applyProtection="1">
      <alignment vertical="center" shrinkToFit="1"/>
      <protection hidden="1"/>
    </xf>
    <xf numFmtId="0" fontId="7" fillId="38" borderId="13" xfId="0" applyFont="1" applyFill="1" applyBorder="1" applyAlignment="1">
      <alignment vertical="center" shrinkToFit="1"/>
    </xf>
    <xf numFmtId="0" fontId="7" fillId="38" borderId="14" xfId="0" applyFont="1" applyFill="1" applyBorder="1" applyAlignment="1">
      <alignment vertical="center" shrinkToFit="1"/>
    </xf>
    <xf numFmtId="194" fontId="27" fillId="31" borderId="92" xfId="0" applyNumberFormat="1" applyFont="1" applyFill="1" applyBorder="1" applyAlignment="1" applyProtection="1">
      <alignment horizontal="center" vertical="center"/>
      <protection locked="0" hidden="1"/>
    </xf>
    <xf numFmtId="194" fontId="27" fillId="31" borderId="115" xfId="0" applyNumberFormat="1" applyFont="1" applyFill="1" applyBorder="1" applyAlignment="1" applyProtection="1">
      <alignment horizontal="center" vertical="center"/>
      <protection locked="0" hidden="1"/>
    </xf>
    <xf numFmtId="0" fontId="38" fillId="27" borderId="51" xfId="0" applyFont="1" applyFill="1" applyBorder="1" applyAlignment="1" applyProtection="1">
      <alignment horizontal="left" vertical="center" wrapText="1"/>
      <protection hidden="1"/>
    </xf>
    <xf numFmtId="0" fontId="38" fillId="27" borderId="15" xfId="0" applyFont="1" applyFill="1" applyBorder="1" applyAlignment="1" applyProtection="1">
      <alignment horizontal="left" vertical="center" wrapText="1"/>
      <protection hidden="1"/>
    </xf>
    <xf numFmtId="0" fontId="29" fillId="42" borderId="12" xfId="0" applyFont="1" applyFill="1" applyBorder="1" applyAlignment="1" applyProtection="1">
      <alignment horizontal="left" vertical="center" wrapText="1"/>
      <protection hidden="1"/>
    </xf>
    <xf numFmtId="0" fontId="7" fillId="48" borderId="14" xfId="0" applyFont="1" applyFill="1" applyBorder="1">
      <alignment vertical="center"/>
    </xf>
    <xf numFmtId="0" fontId="29" fillId="42" borderId="13" xfId="0" applyFont="1" applyFill="1" applyBorder="1" applyAlignment="1" applyProtection="1">
      <alignment horizontal="left" vertical="center" wrapText="1"/>
      <protection hidden="1"/>
    </xf>
    <xf numFmtId="0" fontId="29" fillId="42" borderId="167" xfId="0" applyFont="1" applyFill="1" applyBorder="1" applyAlignment="1" applyProtection="1">
      <alignment horizontal="left" vertical="center" wrapText="1"/>
      <protection hidden="1"/>
    </xf>
    <xf numFmtId="0" fontId="7" fillId="48" borderId="168" xfId="0" applyFont="1" applyFill="1" applyBorder="1" applyAlignment="1">
      <alignment horizontal="left" vertical="center" wrapText="1"/>
    </xf>
    <xf numFmtId="0" fontId="29" fillId="27" borderId="52" xfId="0" applyFont="1" applyFill="1" applyBorder="1" applyAlignment="1" applyProtection="1">
      <alignment horizontal="left" vertical="center" wrapText="1"/>
      <protection hidden="1"/>
    </xf>
    <xf numFmtId="0" fontId="29" fillId="27" borderId="54" xfId="0" applyFont="1" applyFill="1" applyBorder="1" applyAlignment="1" applyProtection="1">
      <alignment horizontal="left" vertical="center" wrapText="1"/>
      <protection hidden="1"/>
    </xf>
    <xf numFmtId="0" fontId="29" fillId="27" borderId="56" xfId="0" applyFont="1" applyFill="1" applyBorder="1" applyAlignment="1" applyProtection="1">
      <alignment horizontal="left" vertical="center" wrapText="1"/>
      <protection hidden="1"/>
    </xf>
    <xf numFmtId="0" fontId="29" fillId="27" borderId="58" xfId="0" applyFont="1" applyFill="1" applyBorder="1" applyAlignment="1" applyProtection="1">
      <alignment horizontal="left" vertical="center" wrapText="1"/>
      <protection hidden="1"/>
    </xf>
    <xf numFmtId="0" fontId="21" fillId="38" borderId="14" xfId="0" applyFont="1" applyFill="1" applyBorder="1">
      <alignment vertical="center"/>
    </xf>
    <xf numFmtId="0" fontId="7" fillId="38" borderId="13" xfId="0" applyFont="1" applyFill="1" applyBorder="1">
      <alignment vertical="center"/>
    </xf>
    <xf numFmtId="0" fontId="21" fillId="38" borderId="168" xfId="0" applyFont="1" applyFill="1" applyBorder="1" applyAlignment="1">
      <alignment horizontal="left" vertical="center" wrapText="1"/>
    </xf>
    <xf numFmtId="0" fontId="29" fillId="27" borderId="12" xfId="0" applyFont="1" applyFill="1" applyBorder="1" applyAlignment="1" applyProtection="1">
      <alignment horizontal="left" vertical="center"/>
      <protection hidden="1"/>
    </xf>
    <xf numFmtId="0" fontId="7" fillId="38" borderId="13" xfId="0" applyFont="1" applyFill="1" applyBorder="1" applyAlignment="1">
      <alignment horizontal="left" vertical="center"/>
    </xf>
    <xf numFmtId="0" fontId="29" fillId="27" borderId="13" xfId="0" applyFont="1" applyFill="1" applyBorder="1" applyAlignment="1" applyProtection="1">
      <alignment horizontal="left" vertical="center"/>
      <protection hidden="1"/>
    </xf>
    <xf numFmtId="0" fontId="7" fillId="38" borderId="14" xfId="0" applyFont="1" applyFill="1" applyBorder="1" applyAlignment="1">
      <alignment horizontal="left" vertical="center"/>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83" xfId="0" applyFont="1" applyFill="1" applyBorder="1" applyAlignment="1" applyProtection="1">
      <alignment vertical="center" wrapText="1"/>
      <protection hidden="1"/>
    </xf>
    <xf numFmtId="0" fontId="0" fillId="38" borderId="13" xfId="0" applyFill="1" applyBorder="1" applyAlignment="1">
      <alignment horizontal="left" vertical="center" wrapText="1"/>
    </xf>
    <xf numFmtId="0" fontId="0" fillId="38" borderId="14" xfId="0" applyFill="1" applyBorder="1" applyAlignment="1">
      <alignment horizontal="left" vertical="center" wrapText="1"/>
    </xf>
    <xf numFmtId="0" fontId="0" fillId="38" borderId="169" xfId="0" applyFill="1" applyBorder="1" applyAlignment="1">
      <alignment horizontal="left" vertical="center" wrapText="1"/>
    </xf>
    <xf numFmtId="0" fontId="0" fillId="38" borderId="168" xfId="0" applyFill="1" applyBorder="1" applyAlignment="1">
      <alignment horizontal="left" vertical="center" wrapText="1"/>
    </xf>
    <xf numFmtId="0" fontId="29" fillId="27" borderId="173" xfId="0" applyFont="1" applyFill="1" applyBorder="1" applyAlignment="1" applyProtection="1">
      <alignment horizontal="left" vertical="center" wrapText="1"/>
      <protection hidden="1"/>
    </xf>
    <xf numFmtId="0" fontId="0" fillId="38" borderId="163" xfId="0" applyFill="1" applyBorder="1" applyAlignment="1">
      <alignment horizontal="left" vertical="center" wrapText="1"/>
    </xf>
    <xf numFmtId="0" fontId="0" fillId="38" borderId="164" xfId="0" applyFill="1" applyBorder="1" applyAlignment="1">
      <alignment horizontal="left" vertical="center" wrapText="1"/>
    </xf>
    <xf numFmtId="0" fontId="29" fillId="27" borderId="26" xfId="0" applyFont="1" applyFill="1" applyBorder="1" applyAlignment="1" applyProtection="1">
      <alignment horizontal="left" vertical="center" wrapText="1"/>
      <protection hidden="1"/>
    </xf>
    <xf numFmtId="0" fontId="29" fillId="27" borderId="27" xfId="0" applyFont="1" applyFill="1" applyBorder="1" applyAlignment="1" applyProtection="1">
      <alignment horizontal="left" vertical="center" wrapText="1"/>
      <protection hidden="1"/>
    </xf>
    <xf numFmtId="0" fontId="29" fillId="27" borderId="10" xfId="0" applyFont="1" applyFill="1" applyBorder="1" applyAlignment="1" applyProtection="1">
      <alignment horizontal="left" vertical="center" wrapText="1"/>
      <protection hidden="1"/>
    </xf>
    <xf numFmtId="0" fontId="29" fillId="27" borderId="77" xfId="0" applyFont="1" applyFill="1" applyBorder="1" applyAlignment="1" applyProtection="1">
      <alignment horizontal="left" vertical="center" wrapText="1"/>
      <protection hidden="1"/>
    </xf>
    <xf numFmtId="0" fontId="7" fillId="38" borderId="57" xfId="0" applyFont="1" applyFill="1" applyBorder="1" applyAlignment="1">
      <alignment vertical="center"/>
    </xf>
    <xf numFmtId="0" fontId="7" fillId="38" borderId="58" xfId="0" applyFont="1" applyFill="1" applyBorder="1" applyAlignment="1">
      <alignment vertical="center"/>
    </xf>
    <xf numFmtId="0" fontId="29" fillId="27" borderId="80" xfId="0" applyFont="1" applyFill="1" applyBorder="1" applyAlignment="1">
      <alignment horizontal="left" vertical="center" wrapText="1"/>
    </xf>
    <xf numFmtId="0" fontId="29" fillId="27" borderId="50" xfId="0" applyFont="1" applyFill="1" applyBorder="1" applyAlignment="1">
      <alignment horizontal="left" vertical="center" wrapText="1"/>
    </xf>
    <xf numFmtId="0" fontId="29" fillId="27" borderId="27" xfId="0" applyFont="1" applyFill="1" applyBorder="1" applyAlignment="1">
      <alignment horizontal="left" vertical="center" wrapText="1"/>
    </xf>
    <xf numFmtId="0" fontId="7" fillId="38" borderId="50" xfId="0" applyFont="1" applyFill="1" applyBorder="1" applyAlignment="1">
      <alignment horizontal="left" vertical="center" wrapText="1"/>
    </xf>
    <xf numFmtId="0" fontId="46" fillId="27" borderId="50" xfId="0" applyFont="1" applyFill="1" applyBorder="1" applyAlignment="1" applyProtection="1">
      <alignment horizontal="center" vertical="center" wrapText="1"/>
      <protection hidden="1"/>
    </xf>
    <xf numFmtId="0" fontId="29" fillId="27" borderId="64" xfId="0" applyFont="1" applyFill="1" applyBorder="1" applyAlignment="1" applyProtection="1">
      <alignment horizontal="left" vertical="center" wrapText="1"/>
      <protection hidden="1"/>
    </xf>
    <xf numFmtId="0" fontId="7" fillId="38" borderId="17" xfId="0" applyFont="1" applyFill="1" applyBorder="1" applyAlignment="1">
      <alignment horizontal="left" vertical="center" wrapText="1"/>
    </xf>
    <xf numFmtId="0" fontId="7" fillId="38" borderId="64" xfId="0" applyFont="1" applyFill="1" applyBorder="1" applyAlignment="1">
      <alignment horizontal="left" vertical="center" wrapText="1"/>
    </xf>
    <xf numFmtId="0" fontId="7" fillId="38" borderId="56" xfId="0" applyFont="1" applyFill="1" applyBorder="1" applyAlignment="1">
      <alignment horizontal="left" vertical="center" wrapText="1"/>
    </xf>
    <xf numFmtId="0" fontId="7" fillId="38" borderId="58" xfId="0" applyFont="1" applyFill="1" applyBorder="1" applyAlignment="1">
      <alignment horizontal="left" vertical="center" wrapText="1"/>
    </xf>
    <xf numFmtId="0" fontId="29" fillId="27" borderId="184" xfId="0" applyFont="1" applyFill="1" applyBorder="1" applyAlignment="1" applyProtection="1">
      <alignment horizontal="left" vertical="center" wrapText="1"/>
      <protection hidden="1"/>
    </xf>
    <xf numFmtId="0" fontId="7" fillId="38" borderId="169" xfId="0" applyFont="1" applyFill="1" applyBorder="1" applyAlignment="1">
      <alignment vertical="center"/>
    </xf>
    <xf numFmtId="0" fontId="7" fillId="38" borderId="168" xfId="0" applyFont="1" applyFill="1" applyBorder="1" applyAlignment="1">
      <alignment vertical="center"/>
    </xf>
    <xf numFmtId="0" fontId="29" fillId="27" borderId="183" xfId="0" applyFont="1" applyFill="1" applyBorder="1" applyAlignment="1" applyProtection="1">
      <alignment horizontal="left" vertical="center" wrapText="1"/>
      <protection hidden="1"/>
    </xf>
    <xf numFmtId="0" fontId="7" fillId="38" borderId="13" xfId="0" applyFont="1" applyFill="1" applyBorder="1" applyAlignment="1">
      <alignment vertical="center"/>
    </xf>
    <xf numFmtId="0" fontId="7" fillId="38" borderId="14" xfId="0" applyFont="1" applyFill="1" applyBorder="1" applyAlignment="1">
      <alignment vertical="center"/>
    </xf>
    <xf numFmtId="0" fontId="29" fillId="31" borderId="26" xfId="0" applyFont="1" applyFill="1" applyBorder="1" applyAlignment="1" applyProtection="1">
      <alignment horizontal="center" vertical="center" wrapText="1"/>
      <protection hidden="1"/>
    </xf>
    <xf numFmtId="0" fontId="7" fillId="0" borderId="27" xfId="0" applyFont="1" applyBorder="1" applyAlignment="1">
      <alignment horizontal="center" vertical="center" wrapText="1"/>
    </xf>
    <xf numFmtId="0" fontId="29" fillId="27" borderId="26" xfId="0" applyFont="1" applyFill="1" applyBorder="1" applyAlignment="1" applyProtection="1">
      <alignment horizontal="center" vertical="top" wrapText="1"/>
      <protection hidden="1"/>
    </xf>
    <xf numFmtId="0" fontId="0" fillId="0" borderId="13" xfId="0" applyBorder="1" applyAlignment="1">
      <alignment vertical="center" wrapText="1"/>
    </xf>
    <xf numFmtId="0" fontId="0" fillId="0" borderId="14" xfId="0" applyBorder="1" applyAlignment="1">
      <alignment vertical="center" wrapText="1"/>
    </xf>
    <xf numFmtId="0" fontId="29" fillId="27" borderId="184" xfId="0" applyFont="1" applyFill="1" applyBorder="1" applyAlignment="1" applyProtection="1">
      <alignment vertical="center" wrapText="1"/>
      <protection hidden="1"/>
    </xf>
    <xf numFmtId="0" fontId="0" fillId="0" borderId="169" xfId="0" applyBorder="1" applyAlignment="1">
      <alignment vertical="center" wrapText="1"/>
    </xf>
    <xf numFmtId="0" fontId="0" fillId="0" borderId="168" xfId="0" applyBorder="1" applyAlignment="1">
      <alignment vertical="center" wrapText="1"/>
    </xf>
    <xf numFmtId="0" fontId="29" fillId="0" borderId="27" xfId="0" applyFont="1" applyBorder="1" applyAlignment="1">
      <alignment horizontal="center" vertical="center" wrapText="1"/>
    </xf>
    <xf numFmtId="0" fontId="7" fillId="0" borderId="27" xfId="0" applyFont="1" applyBorder="1" applyAlignment="1">
      <alignment horizontal="center" vertical="center" shrinkToFit="1"/>
    </xf>
    <xf numFmtId="0" fontId="29" fillId="27" borderId="182" xfId="0" applyFont="1" applyFill="1" applyBorder="1" applyAlignment="1" applyProtection="1">
      <alignment horizontal="left" vertical="center"/>
      <protection hidden="1"/>
    </xf>
    <xf numFmtId="0" fontId="7" fillId="38" borderId="163" xfId="0" applyFont="1" applyFill="1" applyBorder="1" applyAlignment="1">
      <alignment vertical="center"/>
    </xf>
    <xf numFmtId="0" fontId="7" fillId="38" borderId="164" xfId="0" applyFont="1" applyFill="1" applyBorder="1" applyAlignment="1">
      <alignment vertical="center"/>
    </xf>
    <xf numFmtId="0" fontId="29" fillId="27" borderId="183" xfId="0" applyFont="1" applyFill="1" applyBorder="1" applyAlignment="1" applyProtection="1">
      <alignment horizontal="left" vertical="center"/>
      <protection hidden="1"/>
    </xf>
    <xf numFmtId="0" fontId="29" fillId="38" borderId="169" xfId="0" applyFont="1" applyFill="1" applyBorder="1" applyAlignment="1">
      <alignment vertical="center" wrapText="1"/>
    </xf>
    <xf numFmtId="0" fontId="29" fillId="38" borderId="168" xfId="0" applyFont="1" applyFill="1" applyBorder="1" applyAlignment="1">
      <alignment vertical="center" wrapText="1"/>
    </xf>
    <xf numFmtId="0" fontId="29" fillId="27" borderId="182" xfId="0" applyFont="1" applyFill="1" applyBorder="1" applyAlignment="1" applyProtection="1">
      <alignment horizontal="left" vertical="center" wrapText="1"/>
      <protection hidden="1"/>
    </xf>
    <xf numFmtId="0" fontId="29" fillId="42" borderId="168" xfId="0" applyFont="1" applyFill="1" applyBorder="1" applyAlignment="1" applyProtection="1">
      <alignment horizontal="left" vertical="center" wrapText="1"/>
      <protection hidden="1"/>
    </xf>
    <xf numFmtId="0" fontId="7" fillId="38" borderId="163" xfId="0" applyFont="1" applyFill="1" applyBorder="1" applyAlignment="1">
      <alignment vertical="center" wrapText="1"/>
    </xf>
    <xf numFmtId="0" fontId="7" fillId="38" borderId="164" xfId="0" applyFont="1" applyFill="1" applyBorder="1" applyAlignment="1">
      <alignment vertical="center" wrapText="1"/>
    </xf>
    <xf numFmtId="0" fontId="29" fillId="42" borderId="162" xfId="0" applyFont="1" applyFill="1" applyBorder="1" applyAlignment="1" applyProtection="1">
      <alignment horizontal="left" vertical="center" wrapText="1"/>
      <protection hidden="1"/>
    </xf>
    <xf numFmtId="0" fontId="29" fillId="42" borderId="164" xfId="0" applyFont="1" applyFill="1" applyBorder="1" applyAlignment="1" applyProtection="1">
      <alignment horizontal="left" vertical="center" wrapText="1"/>
      <protection hidden="1"/>
    </xf>
    <xf numFmtId="0" fontId="29" fillId="42" borderId="14" xfId="0" applyFont="1" applyFill="1" applyBorder="1" applyAlignment="1" applyProtection="1">
      <alignment horizontal="left" vertical="center" wrapText="1"/>
      <protection hidden="1"/>
    </xf>
    <xf numFmtId="0" fontId="0" fillId="38" borderId="17" xfId="0" applyFill="1" applyBorder="1" applyAlignment="1">
      <alignment horizontal="left" vertical="center" wrapText="1"/>
    </xf>
    <xf numFmtId="0" fontId="0" fillId="38" borderId="64" xfId="0" applyFill="1" applyBorder="1" applyAlignment="1">
      <alignment horizontal="left" vertical="center" wrapText="1"/>
    </xf>
    <xf numFmtId="0" fontId="0" fillId="38" borderId="56" xfId="0" applyFill="1" applyBorder="1" applyAlignment="1">
      <alignment horizontal="left" vertical="center" wrapText="1"/>
    </xf>
    <xf numFmtId="0" fontId="0" fillId="38" borderId="58" xfId="0" applyFill="1" applyBorder="1" applyAlignment="1">
      <alignment horizontal="left" vertical="center" wrapText="1"/>
    </xf>
    <xf numFmtId="0" fontId="29" fillId="27" borderId="89" xfId="0" applyFont="1" applyFill="1" applyBorder="1" applyAlignment="1" applyProtection="1">
      <alignment horizontal="left" vertical="center"/>
      <protection hidden="1"/>
    </xf>
    <xf numFmtId="0" fontId="0" fillId="38" borderId="54" xfId="0" applyFill="1" applyBorder="1" applyAlignment="1">
      <alignment horizontal="left" vertical="center"/>
    </xf>
    <xf numFmtId="0" fontId="0" fillId="38" borderId="62" xfId="0" applyFill="1" applyBorder="1" applyAlignment="1">
      <alignment horizontal="left" vertical="center"/>
    </xf>
    <xf numFmtId="0" fontId="0" fillId="38" borderId="17" xfId="0" applyFill="1" applyBorder="1" applyAlignment="1">
      <alignment horizontal="left" vertical="center"/>
    </xf>
    <xf numFmtId="0" fontId="0" fillId="38" borderId="77" xfId="0" applyFill="1" applyBorder="1" applyAlignment="1">
      <alignment horizontal="left" vertical="center"/>
    </xf>
    <xf numFmtId="0" fontId="0" fillId="38" borderId="58" xfId="0" applyFill="1" applyBorder="1" applyAlignment="1">
      <alignment horizontal="left" vertical="center"/>
    </xf>
    <xf numFmtId="0" fontId="7" fillId="38" borderId="179" xfId="0" applyFont="1" applyFill="1" applyBorder="1" applyAlignment="1">
      <alignment horizontal="left" vertical="center" wrapText="1"/>
    </xf>
    <xf numFmtId="0" fontId="24" fillId="27" borderId="186" xfId="0" applyFont="1" applyFill="1" applyBorder="1" applyAlignment="1" applyProtection="1">
      <alignment horizontal="center" vertical="center"/>
      <protection locked="0" hidden="1"/>
    </xf>
    <xf numFmtId="0" fontId="24" fillId="27" borderId="213" xfId="0" applyFont="1" applyFill="1" applyBorder="1" applyAlignment="1" applyProtection="1">
      <alignment horizontal="center" vertical="center"/>
      <protection locked="0" hidden="1"/>
    </xf>
    <xf numFmtId="0" fontId="29" fillId="27" borderId="13" xfId="0" applyFont="1" applyFill="1" applyBorder="1" applyAlignment="1" applyProtection="1">
      <alignment vertical="center" wrapText="1"/>
      <protection hidden="1"/>
    </xf>
    <xf numFmtId="0" fontId="29" fillId="27" borderId="14" xfId="0" applyFont="1" applyFill="1" applyBorder="1" applyAlignment="1" applyProtection="1">
      <alignment vertical="center" wrapText="1"/>
      <protection hidden="1"/>
    </xf>
    <xf numFmtId="0" fontId="0" fillId="38" borderId="115" xfId="0" applyFill="1" applyBorder="1" applyAlignment="1">
      <alignment horizontal="center" vertical="center"/>
    </xf>
    <xf numFmtId="0" fontId="29" fillId="27" borderId="89" xfId="0" applyFont="1" applyFill="1" applyBorder="1" applyAlignment="1" applyProtection="1">
      <alignment horizontal="left" vertical="center" wrapText="1"/>
      <protection hidden="1"/>
    </xf>
    <xf numFmtId="0" fontId="0" fillId="38" borderId="54" xfId="0" applyFill="1" applyBorder="1" applyAlignment="1">
      <alignment horizontal="left" vertical="center" wrapText="1"/>
    </xf>
    <xf numFmtId="0" fontId="0" fillId="38" borderId="62" xfId="0" applyFill="1" applyBorder="1" applyAlignment="1">
      <alignment horizontal="left" vertical="center" wrapText="1"/>
    </xf>
    <xf numFmtId="0" fontId="0" fillId="38" borderId="77" xfId="0" applyFill="1" applyBorder="1" applyAlignment="1">
      <alignment horizontal="left" vertical="center" wrapText="1"/>
    </xf>
    <xf numFmtId="0" fontId="29" fillId="27" borderId="167" xfId="0" applyFont="1" applyFill="1" applyBorder="1" applyAlignment="1" applyProtection="1">
      <alignment horizontal="left" vertical="center"/>
      <protection hidden="1"/>
    </xf>
    <xf numFmtId="0" fontId="7" fillId="38" borderId="169" xfId="0" applyFont="1" applyFill="1" applyBorder="1" applyAlignment="1">
      <alignment horizontal="left" vertical="center"/>
    </xf>
    <xf numFmtId="0" fontId="29" fillId="27" borderId="169" xfId="0" applyFont="1" applyFill="1" applyBorder="1" applyAlignment="1" applyProtection="1">
      <alignment horizontal="left" vertical="center"/>
      <protection hidden="1"/>
    </xf>
    <xf numFmtId="0" fontId="7" fillId="38" borderId="168" xfId="0" applyFont="1" applyFill="1" applyBorder="1" applyAlignment="1">
      <alignment horizontal="left" vertical="center"/>
    </xf>
    <xf numFmtId="0" fontId="29" fillId="27" borderId="14" xfId="0" applyFont="1" applyFill="1" applyBorder="1" applyAlignment="1" applyProtection="1">
      <alignment horizontal="left" vertical="center"/>
      <protection hidden="1"/>
    </xf>
    <xf numFmtId="0" fontId="7" fillId="38" borderId="164" xfId="0" applyFont="1" applyFill="1" applyBorder="1" applyAlignment="1">
      <alignment horizontal="left" vertical="center"/>
    </xf>
    <xf numFmtId="0" fontId="0" fillId="0" borderId="169" xfId="0" applyBorder="1" applyAlignment="1">
      <alignment horizontal="left" vertical="center" wrapText="1"/>
    </xf>
    <xf numFmtId="0" fontId="0" fillId="0" borderId="168"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7" fillId="38" borderId="193" xfId="0" applyFont="1" applyFill="1" applyBorder="1" applyAlignment="1">
      <alignment horizontal="left" vertical="center" wrapText="1"/>
    </xf>
    <xf numFmtId="0" fontId="38" fillId="31" borderId="68" xfId="0" applyFont="1" applyFill="1" applyBorder="1" applyAlignment="1" applyProtection="1">
      <alignment horizontal="center" vertical="center" wrapText="1"/>
      <protection locked="0" hidden="1"/>
    </xf>
    <xf numFmtId="0" fontId="0" fillId="0" borderId="69" xfId="0" applyBorder="1" applyAlignment="1" applyProtection="1">
      <alignment horizontal="center" vertical="center" wrapText="1"/>
      <protection locked="0" hidden="1"/>
    </xf>
    <xf numFmtId="0" fontId="0" fillId="0" borderId="71" xfId="0" applyBorder="1" applyAlignment="1" applyProtection="1">
      <alignment horizontal="center" vertical="center" wrapText="1"/>
      <protection locked="0" hidden="1"/>
    </xf>
    <xf numFmtId="0" fontId="29" fillId="27" borderId="52" xfId="0" applyFont="1" applyFill="1" applyBorder="1" applyAlignment="1" applyProtection="1">
      <alignment horizontal="left" vertical="center"/>
      <protection hidden="1"/>
    </xf>
    <xf numFmtId="0" fontId="29" fillId="27" borderId="54" xfId="0" applyFont="1" applyFill="1" applyBorder="1" applyAlignment="1" applyProtection="1">
      <alignment horizontal="left" vertical="center"/>
      <protection hidden="1"/>
    </xf>
    <xf numFmtId="0" fontId="29" fillId="27" borderId="50" xfId="0" applyFont="1" applyFill="1" applyBorder="1" applyAlignment="1" applyProtection="1">
      <alignment horizontal="left" vertical="center" wrapText="1"/>
      <protection hidden="1"/>
    </xf>
    <xf numFmtId="0" fontId="0" fillId="0" borderId="50" xfId="0" applyBorder="1" applyAlignment="1">
      <alignment horizontal="left" vertical="center" wrapText="1"/>
    </xf>
    <xf numFmtId="0" fontId="0" fillId="0" borderId="27" xfId="0" applyBorder="1" applyAlignment="1">
      <alignment horizontal="left" vertical="center" wrapText="1"/>
    </xf>
    <xf numFmtId="0" fontId="24" fillId="51" borderId="186" xfId="0" applyFont="1" applyFill="1" applyBorder="1" applyAlignment="1" applyProtection="1">
      <alignment horizontal="center" vertical="center"/>
      <protection locked="0" hidden="1"/>
    </xf>
    <xf numFmtId="0" fontId="24" fillId="51" borderId="213" xfId="0" applyFont="1" applyFill="1" applyBorder="1" applyAlignment="1" applyProtection="1">
      <alignment horizontal="center" vertical="center"/>
      <protection locked="0" hidden="1"/>
    </xf>
    <xf numFmtId="0" fontId="29" fillId="27" borderId="199" xfId="0" applyFont="1" applyFill="1" applyBorder="1" applyAlignment="1" applyProtection="1">
      <alignment horizontal="center" vertical="center" wrapText="1"/>
      <protection hidden="1"/>
    </xf>
    <xf numFmtId="0" fontId="29" fillId="27" borderId="179" xfId="0" applyFont="1" applyFill="1" applyBorder="1" applyAlignment="1" applyProtection="1">
      <alignment horizontal="center" vertical="center" wrapText="1"/>
      <protection hidden="1"/>
    </xf>
    <xf numFmtId="0" fontId="29" fillId="27" borderId="62" xfId="0" applyFont="1" applyFill="1" applyBorder="1" applyAlignment="1" applyProtection="1">
      <alignment horizontal="center" vertical="center" wrapText="1"/>
      <protection hidden="1"/>
    </xf>
    <xf numFmtId="0" fontId="29" fillId="27" borderId="0" xfId="0" applyFont="1" applyFill="1" applyBorder="1" applyAlignment="1" applyProtection="1">
      <alignment horizontal="center" vertical="center" wrapText="1"/>
      <protection hidden="1"/>
    </xf>
    <xf numFmtId="0" fontId="29" fillId="27" borderId="86" xfId="0" applyFont="1" applyFill="1" applyBorder="1" applyAlignment="1" applyProtection="1">
      <alignment horizontal="center" vertical="center" wrapText="1"/>
      <protection hidden="1"/>
    </xf>
    <xf numFmtId="0" fontId="29" fillId="27" borderId="87" xfId="0" applyFont="1" applyFill="1" applyBorder="1" applyAlignment="1" applyProtection="1">
      <alignment horizontal="center" vertical="center" wrapText="1"/>
      <protection hidden="1"/>
    </xf>
    <xf numFmtId="0" fontId="7" fillId="27" borderId="175" xfId="0" applyFont="1" applyFill="1" applyBorder="1" applyAlignment="1" applyProtection="1">
      <alignment horizontal="center" vertical="center"/>
      <protection hidden="1"/>
    </xf>
    <xf numFmtId="0" fontId="7" fillId="27" borderId="55" xfId="0" applyFont="1" applyFill="1" applyBorder="1" applyAlignment="1" applyProtection="1">
      <alignment horizontal="center" vertical="center"/>
      <protection hidden="1"/>
    </xf>
    <xf numFmtId="0" fontId="29" fillId="27" borderId="56" xfId="0" applyFont="1" applyFill="1" applyBorder="1" applyAlignment="1" applyProtection="1">
      <alignment horizontal="left" vertical="center" wrapText="1"/>
      <protection locked="0"/>
    </xf>
    <xf numFmtId="0" fontId="29" fillId="27" borderId="57" xfId="0" applyFont="1" applyFill="1" applyBorder="1" applyAlignment="1" applyProtection="1">
      <alignment horizontal="left" vertical="center" wrapText="1"/>
      <protection locked="0"/>
    </xf>
    <xf numFmtId="0" fontId="29" fillId="27" borderId="58" xfId="0" applyFont="1" applyFill="1" applyBorder="1" applyAlignment="1" applyProtection="1">
      <alignment horizontal="left" vertical="center" wrapText="1"/>
      <protection locked="0"/>
    </xf>
    <xf numFmtId="0" fontId="7" fillId="27" borderId="11" xfId="0" applyFont="1" applyFill="1" applyBorder="1" applyAlignment="1">
      <alignment horizontal="center" vertical="center" wrapText="1"/>
    </xf>
    <xf numFmtId="0" fontId="29" fillId="27" borderId="26" xfId="0" applyFont="1" applyFill="1" applyBorder="1" applyAlignment="1" applyProtection="1">
      <alignment horizontal="center" vertical="center"/>
      <protection hidden="1"/>
    </xf>
    <xf numFmtId="0" fontId="29" fillId="27" borderId="50"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29" fillId="27" borderId="87" xfId="0" applyFont="1" applyFill="1" applyBorder="1" applyAlignment="1" applyProtection="1">
      <alignment horizontal="left" vertical="center" wrapText="1"/>
      <protection hidden="1"/>
    </xf>
    <xf numFmtId="0" fontId="29" fillId="27" borderId="193" xfId="0" applyFont="1" applyFill="1" applyBorder="1" applyAlignment="1" applyProtection="1">
      <alignment horizontal="left" vertical="center" wrapText="1"/>
      <protection hidden="1"/>
    </xf>
    <xf numFmtId="0" fontId="29" fillId="27" borderId="174"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wrapText="1"/>
      <protection hidden="1"/>
    </xf>
    <xf numFmtId="0" fontId="29" fillId="27" borderId="180" xfId="0" applyFont="1" applyFill="1" applyBorder="1" applyAlignment="1" applyProtection="1">
      <alignment horizontal="left" vertical="center" wrapText="1"/>
      <protection hidden="1"/>
    </xf>
    <xf numFmtId="0" fontId="7" fillId="0" borderId="180" xfId="0" applyFont="1" applyBorder="1" applyAlignment="1">
      <alignment vertical="center"/>
    </xf>
    <xf numFmtId="0" fontId="29" fillId="27" borderId="0" xfId="0" applyFont="1" applyFill="1" applyBorder="1" applyAlignment="1" applyProtection="1">
      <alignment horizontal="left" vertical="center" wrapText="1"/>
      <protection hidden="1"/>
    </xf>
    <xf numFmtId="0" fontId="7" fillId="0" borderId="17" xfId="0" applyFont="1" applyBorder="1" applyAlignment="1">
      <alignment vertical="center"/>
    </xf>
    <xf numFmtId="0" fontId="7" fillId="0" borderId="0" xfId="0" applyFont="1" applyBorder="1" applyAlignment="1">
      <alignment vertical="center"/>
    </xf>
    <xf numFmtId="0" fontId="7" fillId="0" borderId="87" xfId="0" applyFont="1" applyBorder="1" applyAlignment="1">
      <alignment vertical="center"/>
    </xf>
    <xf numFmtId="0" fontId="7" fillId="0" borderId="193" xfId="0" applyFont="1" applyBorder="1" applyAlignment="1">
      <alignment vertical="center"/>
    </xf>
    <xf numFmtId="0" fontId="29" fillId="27" borderId="180" xfId="0" applyFont="1" applyFill="1" applyBorder="1" applyAlignment="1" applyProtection="1">
      <alignment horizontal="center" vertical="center" wrapText="1"/>
      <protection hidden="1"/>
    </xf>
    <xf numFmtId="0" fontId="29" fillId="27" borderId="17" xfId="0" applyFont="1" applyFill="1" applyBorder="1" applyAlignment="1" applyProtection="1">
      <alignment horizontal="center" vertical="center" wrapText="1"/>
      <protection hidden="1"/>
    </xf>
    <xf numFmtId="0" fontId="29" fillId="27" borderId="193"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left" vertical="center" wrapText="1"/>
      <protection hidden="1"/>
    </xf>
    <xf numFmtId="0" fontId="29" fillId="29" borderId="0" xfId="0" applyFont="1" applyFill="1" applyBorder="1" applyAlignment="1" applyProtection="1">
      <alignment horizontal="left" vertical="center" wrapText="1"/>
      <protection hidden="1"/>
    </xf>
    <xf numFmtId="0" fontId="29" fillId="27" borderId="163" xfId="0" applyFont="1" applyFill="1" applyBorder="1" applyAlignment="1">
      <alignment vertical="center" wrapText="1"/>
    </xf>
    <xf numFmtId="0" fontId="29" fillId="27" borderId="164" xfId="0" applyFont="1" applyFill="1" applyBorder="1" applyAlignment="1">
      <alignment vertical="center" wrapText="1"/>
    </xf>
    <xf numFmtId="0" fontId="29" fillId="27" borderId="89" xfId="0" applyFont="1" applyFill="1" applyBorder="1" applyAlignment="1" applyProtection="1">
      <alignment horizontal="center" vertical="center" wrapText="1"/>
      <protection hidden="1"/>
    </xf>
    <xf numFmtId="0" fontId="7" fillId="0" borderId="54" xfId="0" applyFont="1" applyBorder="1">
      <alignment vertical="center"/>
    </xf>
    <xf numFmtId="0" fontId="7" fillId="0" borderId="86" xfId="0" applyFont="1" applyBorder="1">
      <alignment vertical="center"/>
    </xf>
    <xf numFmtId="0" fontId="7" fillId="0" borderId="193" xfId="0" applyFont="1" applyBorder="1">
      <alignment vertical="center"/>
    </xf>
    <xf numFmtId="0" fontId="7" fillId="0" borderId="13" xfId="0" applyFont="1" applyBorder="1" applyAlignment="1">
      <alignment vertical="center" wrapText="1"/>
    </xf>
    <xf numFmtId="0" fontId="7" fillId="0" borderId="164" xfId="0" applyFont="1" applyBorder="1" applyAlignment="1">
      <alignment vertical="center" wrapText="1"/>
    </xf>
    <xf numFmtId="0" fontId="7" fillId="0" borderId="14" xfId="0" applyFont="1" applyBorder="1">
      <alignment vertical="center"/>
    </xf>
    <xf numFmtId="0" fontId="7" fillId="27" borderId="175" xfId="0" quotePrefix="1" applyFont="1" applyFill="1" applyBorder="1" applyAlignment="1" applyProtection="1">
      <alignment horizontal="center" vertical="center" wrapText="1"/>
      <protection hidden="1"/>
    </xf>
    <xf numFmtId="0" fontId="7" fillId="27" borderId="15" xfId="0" quotePrefix="1" applyFont="1" applyFill="1" applyBorder="1" applyAlignment="1" applyProtection="1">
      <alignment horizontal="center" vertical="center" wrapText="1"/>
      <protection hidden="1"/>
    </xf>
    <xf numFmtId="0" fontId="7" fillId="27" borderId="165" xfId="0" quotePrefix="1" applyFont="1" applyFill="1" applyBorder="1" applyAlignment="1" applyProtection="1">
      <alignment horizontal="center" vertical="center" wrapText="1"/>
      <protection hidden="1"/>
    </xf>
    <xf numFmtId="0" fontId="29" fillId="27" borderId="179" xfId="0" applyFont="1" applyFill="1" applyBorder="1" applyAlignment="1">
      <alignment vertical="center"/>
    </xf>
    <xf numFmtId="0" fontId="29" fillId="27" borderId="180" xfId="0" applyFont="1" applyFill="1" applyBorder="1" applyAlignment="1">
      <alignment vertical="center"/>
    </xf>
    <xf numFmtId="0" fontId="29" fillId="27" borderId="0" xfId="0" applyFont="1" applyFill="1" applyBorder="1" applyAlignment="1">
      <alignment vertical="center"/>
    </xf>
    <xf numFmtId="0" fontId="29" fillId="27" borderId="17" xfId="0" applyFont="1" applyFill="1" applyBorder="1" applyAlignment="1">
      <alignment vertical="center"/>
    </xf>
    <xf numFmtId="0" fontId="29" fillId="27" borderId="87" xfId="0" applyFont="1" applyFill="1" applyBorder="1" applyAlignment="1">
      <alignment vertical="center"/>
    </xf>
    <xf numFmtId="0" fontId="29" fillId="27" borderId="193" xfId="0" applyFont="1" applyFill="1" applyBorder="1" applyAlignment="1">
      <alignment vertical="center"/>
    </xf>
    <xf numFmtId="0" fontId="7" fillId="51" borderId="100" xfId="0" applyFont="1" applyFill="1" applyBorder="1" applyAlignment="1" applyProtection="1">
      <alignment vertical="center"/>
      <protection locked="0"/>
    </xf>
    <xf numFmtId="0" fontId="7" fillId="51" borderId="213" xfId="0" applyFont="1" applyFill="1" applyBorder="1" applyAlignment="1" applyProtection="1">
      <alignment vertical="center"/>
      <protection locked="0"/>
    </xf>
    <xf numFmtId="0" fontId="29" fillId="27" borderId="17" xfId="0" applyFont="1" applyFill="1" applyBorder="1" applyAlignment="1" applyProtection="1">
      <alignment horizontal="left" vertical="center" wrapText="1"/>
      <protection hidden="1"/>
    </xf>
    <xf numFmtId="0" fontId="24" fillId="51" borderId="100" xfId="0" applyFont="1" applyFill="1" applyBorder="1" applyAlignment="1" applyProtection="1">
      <alignment horizontal="center" vertical="center"/>
      <protection locked="0" hidden="1"/>
    </xf>
    <xf numFmtId="0" fontId="7" fillId="27" borderId="175" xfId="0" applyFont="1" applyFill="1" applyBorder="1" applyAlignment="1" applyProtection="1">
      <alignment horizontal="center" vertical="center" wrapText="1"/>
      <protection hidden="1"/>
    </xf>
    <xf numFmtId="0" fontId="7" fillId="27" borderId="15" xfId="0"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wrapText="1"/>
      <protection hidden="1"/>
    </xf>
    <xf numFmtId="176" fontId="7" fillId="27" borderId="175" xfId="0" applyNumberFormat="1" applyFont="1" applyFill="1" applyBorder="1" applyAlignment="1" applyProtection="1">
      <alignment horizontal="center" vertical="center" wrapText="1"/>
      <protection hidden="1"/>
    </xf>
    <xf numFmtId="176" fontId="7" fillId="27" borderId="15" xfId="0" applyNumberFormat="1" applyFont="1" applyFill="1" applyBorder="1" applyAlignment="1" applyProtection="1">
      <alignment horizontal="center" vertical="center" wrapText="1"/>
      <protection hidden="1"/>
    </xf>
    <xf numFmtId="176" fontId="7" fillId="27" borderId="165" xfId="0" applyNumberFormat="1" applyFont="1" applyFill="1" applyBorder="1" applyAlignment="1" applyProtection="1">
      <alignment horizontal="center" vertical="center" wrapText="1"/>
      <protection hidden="1"/>
    </xf>
    <xf numFmtId="0" fontId="7" fillId="0" borderId="115" xfId="0" applyFont="1" applyBorder="1" applyAlignment="1" applyProtection="1">
      <alignment horizontal="center" vertical="center"/>
      <protection locked="0"/>
    </xf>
    <xf numFmtId="0" fontId="29" fillId="27" borderId="199" xfId="0" applyFont="1" applyFill="1" applyBorder="1" applyAlignment="1" applyProtection="1">
      <alignment horizontal="left" vertical="center" wrapText="1"/>
      <protection hidden="1"/>
    </xf>
    <xf numFmtId="0" fontId="7" fillId="0" borderId="179" xfId="0" applyFont="1" applyBorder="1" applyAlignment="1">
      <alignment vertical="center" wrapText="1"/>
    </xf>
    <xf numFmtId="0" fontId="7" fillId="0" borderId="77" xfId="0" applyFont="1" applyBorder="1" applyAlignment="1">
      <alignment vertical="center" wrapText="1"/>
    </xf>
    <xf numFmtId="0" fontId="7" fillId="0" borderId="57" xfId="0" applyFont="1" applyBorder="1" applyAlignment="1">
      <alignment vertical="center" wrapText="1"/>
    </xf>
    <xf numFmtId="0" fontId="29" fillId="0" borderId="55" xfId="0" applyFont="1" applyFill="1" applyBorder="1" applyAlignment="1" applyProtection="1">
      <alignment horizontal="center" vertical="center" wrapText="1"/>
      <protection hidden="1"/>
    </xf>
    <xf numFmtId="0" fontId="24" fillId="51" borderId="115" xfId="0" applyFont="1" applyFill="1" applyBorder="1" applyAlignment="1" applyProtection="1">
      <alignment horizontal="center" vertical="center"/>
      <protection locked="0" hidden="1"/>
    </xf>
    <xf numFmtId="0" fontId="29" fillId="27" borderId="77" xfId="0" applyFont="1" applyFill="1" applyBorder="1" applyAlignment="1" applyProtection="1">
      <alignment horizontal="center" vertical="center" wrapText="1"/>
      <protection hidden="1"/>
    </xf>
    <xf numFmtId="0" fontId="29" fillId="27" borderId="57" xfId="0" applyFont="1" applyFill="1" applyBorder="1" applyAlignment="1" applyProtection="1">
      <alignment horizontal="center" vertical="center" wrapText="1"/>
      <protection hidden="1"/>
    </xf>
    <xf numFmtId="0" fontId="7" fillId="27" borderId="55" xfId="0" quotePrefix="1" applyFont="1" applyFill="1" applyBorder="1" applyAlignment="1" applyProtection="1">
      <alignment horizontal="center" vertical="center" wrapText="1"/>
      <protection hidden="1"/>
    </xf>
    <xf numFmtId="0" fontId="29" fillId="27" borderId="183" xfId="0" applyFont="1" applyFill="1" applyBorder="1" applyAlignment="1" applyProtection="1">
      <alignment horizontal="center" vertical="center" wrapText="1"/>
      <protection hidden="1"/>
    </xf>
    <xf numFmtId="0" fontId="29" fillId="27" borderId="13" xfId="0" applyFont="1" applyFill="1" applyBorder="1" applyAlignment="1" applyProtection="1">
      <alignment horizontal="center" vertical="center" wrapText="1"/>
      <protection hidden="1"/>
    </xf>
    <xf numFmtId="194" fontId="27" fillId="31" borderId="51" xfId="0" applyNumberFormat="1" applyFont="1" applyFill="1" applyBorder="1" applyAlignment="1" applyProtection="1">
      <alignment horizontal="center" vertical="center"/>
      <protection hidden="1"/>
    </xf>
    <xf numFmtId="194" fontId="27" fillId="31" borderId="55" xfId="0" applyNumberFormat="1" applyFont="1" applyFill="1" applyBorder="1" applyAlignment="1" applyProtection="1">
      <alignment horizontal="center" vertical="center"/>
      <protection hidden="1"/>
    </xf>
    <xf numFmtId="0" fontId="29" fillId="27" borderId="10" xfId="0" applyFont="1" applyFill="1" applyBorder="1" applyAlignment="1">
      <alignment horizontal="center" vertical="center" wrapText="1"/>
    </xf>
    <xf numFmtId="0" fontId="164" fillId="0" borderId="13" xfId="0" applyFont="1" applyBorder="1" applyAlignment="1">
      <alignment vertical="center" wrapText="1"/>
    </xf>
    <xf numFmtId="0" fontId="164" fillId="0" borderId="14" xfId="0" applyFont="1" applyBorder="1" applyAlignment="1">
      <alignment vertical="center" wrapText="1"/>
    </xf>
    <xf numFmtId="0" fontId="29" fillId="27" borderId="12" xfId="0" applyFont="1" applyFill="1" applyBorder="1" applyAlignment="1" applyProtection="1">
      <alignment horizontal="left" vertical="top" wrapText="1"/>
      <protection hidden="1"/>
    </xf>
    <xf numFmtId="0" fontId="29" fillId="27" borderId="13" xfId="0" applyFont="1" applyFill="1" applyBorder="1" applyAlignment="1" applyProtection="1">
      <alignment horizontal="left" vertical="top" wrapText="1"/>
      <protection hidden="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29" fillId="27" borderId="52" xfId="0" quotePrefix="1" applyNumberFormat="1" applyFont="1" applyFill="1" applyBorder="1" applyAlignment="1" applyProtection="1">
      <alignment horizontal="left" vertical="center" wrapText="1"/>
      <protection hidden="1"/>
    </xf>
    <xf numFmtId="0" fontId="29" fillId="27" borderId="54" xfId="0" quotePrefix="1" applyNumberFormat="1" applyFont="1" applyFill="1" applyBorder="1" applyAlignment="1" applyProtection="1">
      <alignment horizontal="left" vertical="center" wrapText="1"/>
      <protection hidden="1"/>
    </xf>
    <xf numFmtId="0" fontId="29" fillId="27" borderId="64" xfId="0" quotePrefix="1" applyNumberFormat="1" applyFont="1" applyFill="1" applyBorder="1" applyAlignment="1" applyProtection="1">
      <alignment horizontal="left" vertical="center" wrapText="1"/>
      <protection hidden="1"/>
    </xf>
    <xf numFmtId="0" fontId="29" fillId="27" borderId="17" xfId="0" quotePrefix="1" applyNumberFormat="1" applyFont="1" applyFill="1" applyBorder="1" applyAlignment="1" applyProtection="1">
      <alignment horizontal="left" vertical="center" wrapText="1"/>
      <protection hidden="1"/>
    </xf>
    <xf numFmtId="0" fontId="29" fillId="27" borderId="56" xfId="0" quotePrefix="1" applyNumberFormat="1" applyFont="1" applyFill="1" applyBorder="1" applyAlignment="1" applyProtection="1">
      <alignment horizontal="left" vertical="center" wrapText="1"/>
      <protection hidden="1"/>
    </xf>
    <xf numFmtId="0" fontId="29" fillId="27" borderId="58" xfId="0" quotePrefix="1" applyNumberFormat="1" applyFont="1" applyFill="1" applyBorder="1" applyAlignment="1" applyProtection="1">
      <alignment horizontal="left" vertical="center" wrapText="1"/>
      <protection hidden="1"/>
    </xf>
    <xf numFmtId="0" fontId="164" fillId="38" borderId="14" xfId="0" applyFont="1" applyFill="1" applyBorder="1" applyAlignment="1">
      <alignment horizontal="left" vertical="center" wrapText="1"/>
    </xf>
    <xf numFmtId="194" fontId="27" fillId="31" borderId="52" xfId="0" applyNumberFormat="1" applyFont="1" applyFill="1" applyBorder="1" applyAlignment="1" applyProtection="1">
      <alignment horizontal="center" vertical="center"/>
      <protection hidden="1"/>
    </xf>
    <xf numFmtId="194" fontId="27" fillId="31" borderId="56" xfId="0" applyNumberFormat="1" applyFont="1" applyFill="1" applyBorder="1" applyAlignment="1" applyProtection="1">
      <alignment horizontal="center" vertical="center"/>
      <protection hidden="1"/>
    </xf>
    <xf numFmtId="0" fontId="29" fillId="31" borderId="26" xfId="0" applyFont="1" applyFill="1" applyBorder="1" applyAlignment="1" applyProtection="1">
      <alignment horizontal="left" vertical="center" wrapText="1"/>
      <protection hidden="1"/>
    </xf>
    <xf numFmtId="0" fontId="164" fillId="0" borderId="27" xfId="0" applyFont="1" applyBorder="1" applyAlignment="1">
      <alignment horizontal="left" vertical="center" wrapText="1"/>
    </xf>
    <xf numFmtId="0" fontId="164" fillId="0" borderId="163" xfId="0" applyFont="1" applyBorder="1" applyAlignment="1">
      <alignment horizontal="left" vertical="center" wrapText="1"/>
    </xf>
    <xf numFmtId="0" fontId="164" fillId="0" borderId="164" xfId="0" applyFont="1" applyBorder="1" applyAlignment="1">
      <alignment horizontal="left" vertical="center" wrapText="1"/>
    </xf>
    <xf numFmtId="0" fontId="164" fillId="0" borderId="13" xfId="0" applyFont="1" applyBorder="1" applyAlignment="1">
      <alignment horizontal="left" vertical="center" wrapText="1"/>
    </xf>
    <xf numFmtId="0" fontId="164" fillId="0" borderId="14" xfId="0" applyFont="1" applyBorder="1" applyAlignment="1">
      <alignment horizontal="left" vertical="center" wrapText="1"/>
    </xf>
    <xf numFmtId="0" fontId="164" fillId="0" borderId="169" xfId="0" applyFont="1" applyBorder="1" applyAlignment="1">
      <alignment horizontal="left" vertical="center" wrapText="1"/>
    </xf>
    <xf numFmtId="0" fontId="164" fillId="0" borderId="168" xfId="0" applyFont="1" applyBorder="1" applyAlignment="1">
      <alignment horizontal="left" vertical="center" wrapText="1"/>
    </xf>
    <xf numFmtId="0" fontId="164" fillId="0" borderId="54" xfId="0" applyFont="1" applyBorder="1" applyAlignment="1">
      <alignment horizontal="left" vertical="center" wrapText="1"/>
    </xf>
    <xf numFmtId="0" fontId="164" fillId="0" borderId="64" xfId="0" applyFont="1" applyBorder="1" applyAlignment="1">
      <alignment horizontal="left" vertical="center" wrapText="1"/>
    </xf>
    <xf numFmtId="0" fontId="164" fillId="0" borderId="17" xfId="0" applyFont="1" applyBorder="1" applyAlignment="1">
      <alignment horizontal="left" vertical="center" wrapText="1"/>
    </xf>
    <xf numFmtId="0" fontId="164" fillId="0" borderId="56" xfId="0" applyFont="1" applyBorder="1" applyAlignment="1">
      <alignment horizontal="left" vertical="center" wrapText="1"/>
    </xf>
    <xf numFmtId="0" fontId="164" fillId="0" borderId="58" xfId="0" applyFont="1" applyBorder="1" applyAlignment="1">
      <alignment horizontal="left" vertical="center" wrapText="1"/>
    </xf>
    <xf numFmtId="0" fontId="29" fillId="27" borderId="26" xfId="0" applyFont="1" applyFill="1" applyBorder="1" applyAlignment="1">
      <alignment horizontal="center" vertical="center" wrapText="1"/>
    </xf>
    <xf numFmtId="0" fontId="29" fillId="27" borderId="27" xfId="0" applyFont="1" applyFill="1" applyBorder="1" applyAlignment="1">
      <alignment horizontal="center" vertical="center" wrapText="1"/>
    </xf>
    <xf numFmtId="0" fontId="29" fillId="27" borderId="51" xfId="0" applyFont="1" applyFill="1" applyBorder="1" applyAlignment="1">
      <alignment horizontal="center" vertical="center" wrapText="1"/>
    </xf>
    <xf numFmtId="0" fontId="29" fillId="27" borderId="15" xfId="0" applyFont="1" applyFill="1" applyBorder="1" applyAlignment="1">
      <alignment horizontal="center" vertical="center" wrapText="1"/>
    </xf>
    <xf numFmtId="0" fontId="164" fillId="0" borderId="55" xfId="0" applyFont="1" applyBorder="1" applyAlignment="1">
      <alignment horizontal="center" vertical="center" wrapText="1"/>
    </xf>
    <xf numFmtId="0" fontId="164" fillId="0" borderId="10" xfId="0" applyFont="1" applyBorder="1" applyAlignment="1">
      <alignment horizontal="center" vertical="center" wrapText="1"/>
    </xf>
    <xf numFmtId="0" fontId="29" fillId="31" borderId="50" xfId="0" applyFont="1" applyFill="1" applyBorder="1" applyAlignment="1" applyProtection="1">
      <alignment horizontal="center" vertical="center" wrapText="1"/>
      <protection hidden="1"/>
    </xf>
    <xf numFmtId="0" fontId="29" fillId="27" borderId="51" xfId="0" quotePrefix="1" applyNumberFormat="1" applyFont="1" applyFill="1" applyBorder="1" applyAlignment="1" applyProtection="1">
      <alignment horizontal="left" vertical="center" wrapText="1"/>
      <protection hidden="1"/>
    </xf>
    <xf numFmtId="0" fontId="29" fillId="27" borderId="15" xfId="0" quotePrefix="1" applyNumberFormat="1" applyFont="1" applyFill="1" applyBorder="1" applyAlignment="1" applyProtection="1">
      <alignment horizontal="left" vertical="center" wrapText="1"/>
      <protection hidden="1"/>
    </xf>
    <xf numFmtId="0" fontId="29" fillId="27" borderId="0" xfId="0" applyFont="1" applyFill="1" applyBorder="1" applyAlignment="1" applyProtection="1">
      <alignment horizontal="left" vertical="top" wrapText="1"/>
    </xf>
    <xf numFmtId="0" fontId="38" fillId="27" borderId="0" xfId="0" applyFont="1" applyFill="1" applyBorder="1" applyAlignment="1" applyProtection="1">
      <alignment horizontal="left" vertical="top" wrapText="1"/>
    </xf>
    <xf numFmtId="194" fontId="126" fillId="39" borderId="68" xfId="0" applyNumberFormat="1" applyFont="1" applyFill="1" applyBorder="1" applyAlignment="1" applyProtection="1">
      <alignment horizontal="center" vertical="center"/>
      <protection locked="0"/>
    </xf>
    <xf numFmtId="194" fontId="126" fillId="39" borderId="69" xfId="0" applyNumberFormat="1" applyFont="1" applyFill="1" applyBorder="1" applyAlignment="1" applyProtection="1">
      <alignment horizontal="center" vertical="center"/>
      <protection locked="0"/>
    </xf>
    <xf numFmtId="194" fontId="126" fillId="39" borderId="71" xfId="0" applyNumberFormat="1" applyFont="1" applyFill="1" applyBorder="1" applyAlignment="1" applyProtection="1">
      <alignment horizontal="center" vertical="center"/>
      <protection locked="0"/>
    </xf>
    <xf numFmtId="0" fontId="34" fillId="27" borderId="0" xfId="0" applyFont="1" applyFill="1" applyBorder="1" applyAlignment="1" applyProtection="1">
      <alignment horizontal="left" vertical="center" wrapText="1"/>
    </xf>
    <xf numFmtId="0" fontId="29" fillId="27" borderId="77" xfId="0" applyFont="1" applyFill="1" applyBorder="1" applyAlignment="1" applyProtection="1">
      <alignment vertical="center" wrapText="1"/>
      <protection locked="0"/>
    </xf>
    <xf numFmtId="0" fontId="29" fillId="27" borderId="57" xfId="0" applyFont="1" applyFill="1" applyBorder="1" applyAlignment="1" applyProtection="1">
      <alignment vertical="center" wrapText="1"/>
      <protection locked="0"/>
    </xf>
    <xf numFmtId="0" fontId="29" fillId="27" borderId="58" xfId="0" applyFont="1" applyFill="1" applyBorder="1" applyAlignment="1" applyProtection="1">
      <alignment vertical="center" wrapText="1"/>
      <protection locked="0"/>
    </xf>
    <xf numFmtId="0" fontId="27" fillId="27" borderId="186"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9" fillId="27" borderId="51" xfId="0" applyFont="1" applyFill="1" applyBorder="1" applyAlignment="1" applyProtection="1">
      <alignment horizontal="left" vertical="center" wrapText="1"/>
      <protection hidden="1"/>
    </xf>
    <xf numFmtId="0" fontId="7" fillId="0" borderId="15" xfId="0" applyFont="1" applyBorder="1" applyAlignment="1">
      <alignment horizontal="left" vertical="center" wrapText="1"/>
    </xf>
    <xf numFmtId="0" fontId="7" fillId="0" borderId="55" xfId="0" applyFont="1" applyBorder="1" applyAlignment="1">
      <alignment horizontal="left" vertical="center" wrapText="1"/>
    </xf>
    <xf numFmtId="0" fontId="29" fillId="27" borderId="77" xfId="0" applyFont="1" applyFill="1"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164" fillId="48" borderId="14" xfId="0" applyFont="1" applyFill="1" applyBorder="1" applyAlignment="1">
      <alignment horizontal="left" vertical="center" wrapText="1"/>
    </xf>
    <xf numFmtId="0" fontId="164" fillId="48" borderId="168" xfId="0" applyFont="1" applyFill="1" applyBorder="1" applyAlignment="1">
      <alignment horizontal="left" vertical="center" wrapText="1"/>
    </xf>
    <xf numFmtId="0" fontId="29" fillId="27" borderId="26" xfId="0" applyNumberFormat="1" applyFont="1" applyFill="1" applyBorder="1" applyAlignment="1" applyProtection="1">
      <alignment horizontal="left" vertical="center"/>
      <protection locked="0" hidden="1"/>
    </xf>
    <xf numFmtId="0" fontId="29" fillId="27" borderId="50" xfId="0" applyNumberFormat="1" applyFont="1" applyFill="1" applyBorder="1" applyAlignment="1" applyProtection="1">
      <alignment horizontal="left" vertical="center"/>
      <protection locked="0" hidden="1"/>
    </xf>
    <xf numFmtId="0" fontId="29" fillId="27" borderId="27" xfId="0" applyNumberFormat="1" applyFont="1" applyFill="1" applyBorder="1" applyAlignment="1" applyProtection="1">
      <alignment horizontal="left" vertical="center"/>
      <protection locked="0" hidden="1"/>
    </xf>
    <xf numFmtId="0" fontId="29" fillId="27" borderId="162" xfId="0" applyFont="1" applyFill="1" applyBorder="1" applyAlignment="1" applyProtection="1">
      <alignment vertical="center" wrapText="1"/>
      <protection hidden="1"/>
    </xf>
    <xf numFmtId="0" fontId="0" fillId="0" borderId="163" xfId="0" applyBorder="1" applyAlignment="1">
      <alignment vertical="center" wrapText="1"/>
    </xf>
    <xf numFmtId="0" fontId="0" fillId="0" borderId="164" xfId="0" applyBorder="1" applyAlignment="1">
      <alignment vertical="center" wrapText="1"/>
    </xf>
    <xf numFmtId="0" fontId="29" fillId="27" borderId="51" xfId="0" applyFont="1" applyFill="1" applyBorder="1" applyAlignment="1" applyProtection="1">
      <alignment horizontal="center" vertical="center" wrapText="1"/>
      <protection hidden="1"/>
    </xf>
    <xf numFmtId="0" fontId="29" fillId="27" borderId="55" xfId="0" applyFont="1" applyFill="1" applyBorder="1" applyAlignment="1" applyProtection="1">
      <alignment horizontal="center" vertical="center" wrapText="1"/>
      <protection hidden="1"/>
    </xf>
    <xf numFmtId="0" fontId="24" fillId="31" borderId="92" xfId="0" applyFont="1" applyFill="1" applyBorder="1" applyAlignment="1" applyProtection="1">
      <alignment horizontal="center" vertical="center"/>
      <protection locked="0"/>
    </xf>
    <xf numFmtId="0" fontId="164" fillId="0" borderId="100" xfId="0" applyFont="1" applyBorder="1" applyAlignment="1" applyProtection="1">
      <alignment horizontal="center" vertical="center"/>
      <protection locked="0"/>
    </xf>
    <xf numFmtId="0" fontId="164" fillId="0" borderId="213" xfId="0" applyFont="1" applyBorder="1" applyAlignment="1" applyProtection="1">
      <alignment horizontal="center" vertical="center"/>
      <protection locked="0"/>
    </xf>
    <xf numFmtId="0" fontId="29" fillId="27" borderId="53" xfId="0" applyFont="1" applyFill="1" applyBorder="1" applyAlignment="1" applyProtection="1">
      <alignment horizontal="left" vertical="center" wrapText="1"/>
      <protection hidden="1"/>
    </xf>
    <xf numFmtId="0" fontId="29" fillId="27" borderId="62" xfId="0" applyFont="1" applyFill="1" applyBorder="1" applyAlignment="1" applyProtection="1">
      <alignment horizontal="left" vertical="center" wrapText="1"/>
      <protection hidden="1"/>
    </xf>
    <xf numFmtId="0" fontId="29" fillId="27" borderId="86" xfId="0" applyFont="1" applyFill="1" applyBorder="1" applyAlignment="1" applyProtection="1">
      <alignment horizontal="left" vertical="center" wrapText="1"/>
      <protection hidden="1"/>
    </xf>
    <xf numFmtId="0" fontId="24" fillId="31" borderId="186" xfId="0" applyFont="1" applyFill="1" applyBorder="1" applyAlignment="1" applyProtection="1">
      <alignment horizontal="center" vertical="center"/>
      <protection locked="0" hidden="1"/>
    </xf>
    <xf numFmtId="0" fontId="24" fillId="31" borderId="100" xfId="0" applyFont="1" applyFill="1" applyBorder="1" applyAlignment="1" applyProtection="1">
      <alignment horizontal="center" vertical="center"/>
      <protection locked="0" hidden="1"/>
    </xf>
    <xf numFmtId="0" fontId="24" fillId="31" borderId="213" xfId="0" applyFont="1" applyFill="1" applyBorder="1" applyAlignment="1" applyProtection="1">
      <alignment horizontal="center" vertical="center"/>
      <protection locked="0" hidden="1"/>
    </xf>
    <xf numFmtId="0" fontId="24" fillId="31" borderId="186" xfId="0" applyFont="1" applyFill="1" applyBorder="1" applyAlignment="1" applyProtection="1">
      <alignment horizontal="center" vertical="center"/>
      <protection locked="0"/>
    </xf>
    <xf numFmtId="0" fontId="164" fillId="0" borderId="115" xfId="0" applyFont="1" applyBorder="1" applyAlignment="1" applyProtection="1">
      <alignment horizontal="center" vertical="center"/>
      <protection locked="0"/>
    </xf>
    <xf numFmtId="0" fontId="29" fillId="27" borderId="57"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protection hidden="1"/>
    </xf>
    <xf numFmtId="0" fontId="29" fillId="27" borderId="180" xfId="0" applyFont="1" applyFill="1" applyBorder="1" applyAlignment="1" applyProtection="1">
      <alignment horizontal="left" vertical="center"/>
      <protection hidden="1"/>
    </xf>
    <xf numFmtId="0" fontId="29" fillId="27" borderId="62" xfId="0" applyFont="1" applyFill="1" applyBorder="1" applyAlignment="1" applyProtection="1">
      <alignment horizontal="left" vertical="center"/>
      <protection hidden="1"/>
    </xf>
    <xf numFmtId="0" fontId="29" fillId="27" borderId="0" xfId="0" applyFont="1" applyFill="1" applyBorder="1" applyAlignment="1" applyProtection="1">
      <alignment horizontal="left" vertical="center"/>
      <protection hidden="1"/>
    </xf>
    <xf numFmtId="0" fontId="29" fillId="27" borderId="17" xfId="0" applyFont="1" applyFill="1" applyBorder="1" applyAlignment="1" applyProtection="1">
      <alignment horizontal="left" vertical="center"/>
      <protection hidden="1"/>
    </xf>
    <xf numFmtId="0" fontId="29" fillId="27" borderId="86" xfId="0" applyFont="1" applyFill="1" applyBorder="1" applyAlignment="1" applyProtection="1">
      <alignment horizontal="left" vertical="center"/>
      <protection hidden="1"/>
    </xf>
    <xf numFmtId="0" fontId="29" fillId="27" borderId="87"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164" fillId="38" borderId="169" xfId="0" applyFont="1" applyFill="1" applyBorder="1" applyAlignment="1">
      <alignment horizontal="left" vertical="center" wrapText="1"/>
    </xf>
    <xf numFmtId="0" fontId="164" fillId="38" borderId="168" xfId="0" applyFont="1" applyFill="1" applyBorder="1" applyAlignment="1">
      <alignment horizontal="left" vertical="center" wrapText="1"/>
    </xf>
    <xf numFmtId="0" fontId="164" fillId="38" borderId="163" xfId="0" applyFont="1" applyFill="1" applyBorder="1" applyAlignment="1">
      <alignment horizontal="left" vertical="center" wrapText="1"/>
    </xf>
    <xf numFmtId="0" fontId="164" fillId="38" borderId="164" xfId="0" applyFont="1" applyFill="1" applyBorder="1" applyAlignment="1">
      <alignment horizontal="left" vertical="center" wrapText="1"/>
    </xf>
    <xf numFmtId="0" fontId="164" fillId="38" borderId="13" xfId="0" applyFont="1" applyFill="1" applyBorder="1" applyAlignment="1">
      <alignment horizontal="left" vertical="center" wrapText="1"/>
    </xf>
    <xf numFmtId="0" fontId="29" fillId="27" borderId="175" xfId="0" applyFont="1" applyFill="1" applyBorder="1" applyAlignment="1">
      <alignment horizontal="center" vertical="center" wrapText="1"/>
    </xf>
    <xf numFmtId="0" fontId="29" fillId="0" borderId="15" xfId="0" applyFont="1" applyBorder="1" applyAlignment="1">
      <alignment horizontal="center" vertical="center" wrapText="1"/>
    </xf>
    <xf numFmtId="0" fontId="29" fillId="0" borderId="165" xfId="0" applyFont="1" applyBorder="1" applyAlignment="1">
      <alignment horizontal="center" vertical="center" wrapText="1"/>
    </xf>
    <xf numFmtId="0" fontId="29" fillId="27" borderId="165" xfId="0" applyFont="1" applyFill="1" applyBorder="1" applyAlignment="1">
      <alignment horizontal="center" vertical="center" wrapText="1"/>
    </xf>
    <xf numFmtId="0" fontId="68" fillId="0" borderId="53" xfId="0" applyFont="1" applyBorder="1" applyAlignment="1" applyProtection="1">
      <alignment horizontal="left" vertical="top" wrapText="1"/>
    </xf>
    <xf numFmtId="0" fontId="29" fillId="27" borderId="162" xfId="0" applyFont="1" applyFill="1" applyBorder="1" applyAlignment="1" applyProtection="1">
      <alignment horizontal="center" vertical="center" shrinkToFit="1"/>
      <protection hidden="1"/>
    </xf>
    <xf numFmtId="0" fontId="29" fillId="27" borderId="163" xfId="0" applyFont="1" applyFill="1" applyBorder="1" applyAlignment="1" applyProtection="1">
      <alignment horizontal="center" vertical="center" shrinkToFit="1"/>
      <protection hidden="1"/>
    </xf>
    <xf numFmtId="0" fontId="29" fillId="27" borderId="164" xfId="0" applyFont="1" applyFill="1" applyBorder="1" applyAlignment="1" applyProtection="1">
      <alignment horizontal="center" vertical="center" shrinkToFit="1"/>
      <protection hidden="1"/>
    </xf>
    <xf numFmtId="0" fontId="29" fillId="27" borderId="52" xfId="0" applyFont="1" applyFill="1" applyBorder="1" applyAlignment="1" applyProtection="1">
      <alignment horizontal="center" vertical="center"/>
      <protection hidden="1"/>
    </xf>
    <xf numFmtId="0" fontId="29" fillId="27" borderId="54" xfId="0" applyFont="1" applyFill="1" applyBorder="1" applyAlignment="1" applyProtection="1">
      <alignment horizontal="center" vertical="center"/>
      <protection hidden="1"/>
    </xf>
    <xf numFmtId="0" fontId="29" fillId="27" borderId="64" xfId="0" applyFont="1" applyFill="1" applyBorder="1" applyAlignment="1" applyProtection="1">
      <alignment horizontal="center" vertical="center"/>
      <protection hidden="1"/>
    </xf>
    <xf numFmtId="0" fontId="29" fillId="27" borderId="17" xfId="0" applyFont="1" applyFill="1" applyBorder="1" applyAlignment="1" applyProtection="1">
      <alignment horizontal="center" vertical="center"/>
      <protection hidden="1"/>
    </xf>
    <xf numFmtId="0" fontId="29" fillId="27" borderId="56" xfId="0" applyFont="1" applyFill="1" applyBorder="1" applyAlignment="1" applyProtection="1">
      <alignment horizontal="center" vertical="center"/>
      <protection hidden="1"/>
    </xf>
    <xf numFmtId="0" fontId="29" fillId="27" borderId="58" xfId="0" applyFont="1" applyFill="1" applyBorder="1" applyAlignment="1" applyProtection="1">
      <alignment horizontal="center" vertical="center"/>
      <protection hidden="1"/>
    </xf>
    <xf numFmtId="0" fontId="29" fillId="27" borderId="173" xfId="0" applyFont="1" applyFill="1" applyBorder="1" applyAlignment="1">
      <alignment horizontal="left" vertical="center" wrapText="1"/>
    </xf>
    <xf numFmtId="0" fontId="164" fillId="0" borderId="87" xfId="0" applyFont="1" applyBorder="1" applyAlignment="1">
      <alignment horizontal="left" vertical="center" wrapText="1"/>
    </xf>
    <xf numFmtId="0" fontId="29" fillId="27" borderId="199" xfId="0" applyFont="1" applyFill="1" applyBorder="1" applyAlignment="1">
      <alignment horizontal="left" vertical="center" wrapText="1"/>
    </xf>
    <xf numFmtId="0" fontId="29" fillId="27" borderId="179" xfId="0" applyFont="1" applyFill="1" applyBorder="1" applyAlignment="1">
      <alignment horizontal="left" vertical="center" wrapText="1"/>
    </xf>
    <xf numFmtId="0" fontId="29" fillId="27" borderId="180" xfId="0" applyFont="1" applyFill="1" applyBorder="1" applyAlignment="1">
      <alignment horizontal="left" vertical="center" wrapText="1"/>
    </xf>
    <xf numFmtId="0" fontId="29" fillId="27" borderId="77" xfId="0" applyFont="1" applyFill="1" applyBorder="1" applyAlignment="1">
      <alignment horizontal="left" vertical="center" wrapText="1"/>
    </xf>
    <xf numFmtId="0" fontId="29" fillId="27" borderId="57" xfId="0" applyFont="1" applyFill="1" applyBorder="1" applyAlignment="1">
      <alignment horizontal="left" vertical="center" wrapText="1"/>
    </xf>
    <xf numFmtId="0" fontId="29" fillId="27" borderId="58" xfId="0" applyFont="1" applyFill="1" applyBorder="1" applyAlignment="1">
      <alignment horizontal="left" vertical="center" wrapText="1"/>
    </xf>
    <xf numFmtId="0" fontId="29" fillId="27" borderId="64" xfId="0" applyFont="1" applyFill="1" applyBorder="1" applyAlignment="1">
      <alignment horizontal="left" vertical="center" wrapText="1"/>
    </xf>
    <xf numFmtId="0" fontId="29" fillId="27" borderId="0" xfId="0" applyFont="1" applyFill="1" applyBorder="1" applyAlignment="1">
      <alignment horizontal="left" vertical="center" wrapText="1"/>
    </xf>
    <xf numFmtId="0" fontId="29" fillId="27" borderId="53" xfId="0" applyFont="1" applyFill="1" applyBorder="1" applyAlignment="1">
      <alignment horizontal="left" vertical="center" wrapText="1"/>
    </xf>
    <xf numFmtId="0" fontId="29" fillId="27" borderId="54" xfId="0" applyFont="1" applyFill="1" applyBorder="1" applyAlignment="1">
      <alignment horizontal="left" vertical="center" wrapText="1"/>
    </xf>
    <xf numFmtId="0" fontId="29" fillId="27" borderId="17" xfId="0" applyFont="1" applyFill="1" applyBorder="1" applyAlignment="1">
      <alignment horizontal="left" vertical="center" wrapText="1"/>
    </xf>
    <xf numFmtId="0" fontId="29" fillId="27" borderId="87" xfId="0" applyFont="1" applyFill="1" applyBorder="1" applyAlignment="1">
      <alignment horizontal="left" vertical="center" wrapText="1"/>
    </xf>
    <xf numFmtId="0" fontId="29" fillId="27" borderId="193" xfId="0" applyFont="1" applyFill="1" applyBorder="1" applyAlignment="1">
      <alignment horizontal="left" vertical="center" wrapText="1"/>
    </xf>
    <xf numFmtId="0" fontId="29" fillId="27" borderId="182" xfId="0" applyFont="1" applyFill="1" applyBorder="1" applyAlignment="1">
      <alignment horizontal="left" vertical="center" wrapText="1"/>
    </xf>
    <xf numFmtId="0" fontId="29" fillId="0" borderId="163" xfId="0" applyFont="1" applyBorder="1" applyAlignment="1">
      <alignment horizontal="left" vertical="center" wrapText="1"/>
    </xf>
    <xf numFmtId="0" fontId="29" fillId="0" borderId="164" xfId="0" applyFont="1" applyBorder="1" applyAlignment="1">
      <alignment horizontal="left" vertical="center" wrapText="1"/>
    </xf>
    <xf numFmtId="0" fontId="29" fillId="27" borderId="163" xfId="0" applyFont="1" applyFill="1" applyBorder="1" applyAlignment="1">
      <alignment horizontal="left" vertical="center" wrapText="1"/>
    </xf>
    <xf numFmtId="0" fontId="164" fillId="27" borderId="11" xfId="0" applyFont="1" applyFill="1" applyBorder="1" applyAlignment="1">
      <alignment horizontal="center" vertical="center" wrapText="1"/>
    </xf>
    <xf numFmtId="0" fontId="29" fillId="27" borderId="62" xfId="0" applyFont="1" applyFill="1" applyBorder="1" applyAlignment="1" applyProtection="1">
      <alignment horizontal="left" vertical="center" wrapText="1"/>
    </xf>
    <xf numFmtId="0" fontId="164" fillId="0" borderId="0" xfId="0" applyFont="1" applyAlignment="1">
      <alignment horizontal="left" vertical="center" wrapText="1"/>
    </xf>
    <xf numFmtId="0" fontId="29" fillId="27" borderId="86" xfId="0" applyFont="1" applyFill="1" applyBorder="1" applyAlignment="1" applyProtection="1">
      <alignment horizontal="left" vertical="center" wrapText="1"/>
    </xf>
    <xf numFmtId="0" fontId="29" fillId="27" borderId="52" xfId="0" applyFont="1" applyFill="1" applyBorder="1" applyAlignment="1" applyProtection="1">
      <alignment horizontal="center" vertical="center" wrapText="1"/>
      <protection hidden="1"/>
    </xf>
    <xf numFmtId="0" fontId="29" fillId="27" borderId="54" xfId="0" applyFont="1" applyFill="1" applyBorder="1" applyAlignment="1" applyProtection="1">
      <alignment horizontal="center" vertical="center" wrapText="1"/>
      <protection hidden="1"/>
    </xf>
    <xf numFmtId="0" fontId="29" fillId="27" borderId="64" xfId="0" applyFont="1" applyFill="1" applyBorder="1" applyAlignment="1" applyProtection="1">
      <alignment horizontal="center" vertical="center" wrapText="1"/>
      <protection hidden="1"/>
    </xf>
    <xf numFmtId="0" fontId="29" fillId="27" borderId="56" xfId="0" applyFont="1" applyFill="1" applyBorder="1" applyAlignment="1" applyProtection="1">
      <alignment horizontal="center" vertical="center" wrapText="1"/>
      <protection hidden="1"/>
    </xf>
    <xf numFmtId="0" fontId="29" fillId="27" borderId="58" xfId="0" applyFont="1" applyFill="1" applyBorder="1" applyAlignment="1" applyProtection="1">
      <alignment horizontal="center" vertical="center" wrapText="1"/>
      <protection hidden="1"/>
    </xf>
    <xf numFmtId="0" fontId="29" fillId="0" borderId="54" xfId="0" applyFont="1" applyBorder="1" applyAlignment="1">
      <alignment horizontal="left" vertical="center" wrapText="1"/>
    </xf>
    <xf numFmtId="0" fontId="164" fillId="0" borderId="87" xfId="0" applyFont="1" applyBorder="1" applyAlignment="1">
      <alignment vertical="center"/>
    </xf>
    <xf numFmtId="0" fontId="164" fillId="0" borderId="193" xfId="0" applyFont="1" applyBorder="1" applyAlignment="1">
      <alignment vertical="center"/>
    </xf>
    <xf numFmtId="0" fontId="29" fillId="0" borderId="53" xfId="0" applyFont="1" applyBorder="1" applyAlignment="1">
      <alignment horizontal="left" vertical="top" wrapText="1"/>
    </xf>
    <xf numFmtId="0" fontId="29" fillId="27" borderId="10" xfId="0" applyFont="1" applyFill="1" applyBorder="1" applyAlignment="1" applyProtection="1">
      <alignment horizontal="center" vertical="center" wrapText="1"/>
      <protection hidden="1"/>
    </xf>
    <xf numFmtId="0" fontId="24" fillId="51" borderId="92" xfId="0" applyFont="1" applyFill="1" applyBorder="1" applyAlignment="1" applyProtection="1">
      <alignment horizontal="center" vertical="center"/>
      <protection locked="0" hidden="1"/>
    </xf>
    <xf numFmtId="0" fontId="29" fillId="27" borderId="89" xfId="0" applyFont="1" applyFill="1" applyBorder="1" applyAlignment="1" applyProtection="1">
      <alignment horizontal="left" vertical="center" wrapText="1"/>
    </xf>
    <xf numFmtId="0" fontId="29" fillId="27" borderId="53" xfId="0" applyFont="1" applyFill="1" applyBorder="1" applyAlignment="1" applyProtection="1">
      <alignment horizontal="left" vertical="center" wrapText="1"/>
    </xf>
    <xf numFmtId="0" fontId="164" fillId="27" borderId="16" xfId="0" applyFont="1" applyFill="1" applyBorder="1" applyAlignment="1">
      <alignment horizontal="center" vertical="center" wrapText="1"/>
    </xf>
    <xf numFmtId="0" fontId="29" fillId="27" borderId="13" xfId="0" applyFont="1" applyFill="1" applyBorder="1" applyAlignment="1">
      <alignment horizontal="left" vertical="center" wrapText="1"/>
    </xf>
    <xf numFmtId="0" fontId="164" fillId="51" borderId="213" xfId="0" applyFont="1" applyFill="1" applyBorder="1" applyAlignment="1" applyProtection="1">
      <alignment vertical="center"/>
      <protection locked="0"/>
    </xf>
    <xf numFmtId="0" fontId="164" fillId="51" borderId="100" xfId="0" applyFont="1" applyFill="1" applyBorder="1" applyAlignment="1" applyProtection="1">
      <alignment vertical="center"/>
      <protection locked="0"/>
    </xf>
    <xf numFmtId="0" fontId="164" fillId="51" borderId="115" xfId="0" applyFont="1" applyFill="1" applyBorder="1" applyAlignment="1" applyProtection="1">
      <alignment vertical="center"/>
      <protection locked="0"/>
    </xf>
    <xf numFmtId="0" fontId="164" fillId="0" borderId="179" xfId="0" applyFont="1" applyBorder="1" applyAlignment="1">
      <alignment vertical="center"/>
    </xf>
    <xf numFmtId="0" fontId="164" fillId="0" borderId="180" xfId="0" applyFont="1" applyBorder="1" applyAlignment="1">
      <alignment vertical="center"/>
    </xf>
    <xf numFmtId="0" fontId="164" fillId="0" borderId="62" xfId="0" applyFont="1" applyBorder="1" applyAlignment="1">
      <alignment vertical="center"/>
    </xf>
    <xf numFmtId="0" fontId="164" fillId="0" borderId="0" xfId="0" applyFont="1" applyAlignment="1">
      <alignment vertical="center"/>
    </xf>
    <xf numFmtId="0" fontId="164" fillId="0" borderId="17" xfId="0" applyFont="1" applyBorder="1" applyAlignment="1">
      <alignment vertical="center"/>
    </xf>
    <xf numFmtId="0" fontId="164" fillId="0" borderId="77" xfId="0" applyFont="1" applyBorder="1" applyAlignment="1">
      <alignment vertical="center"/>
    </xf>
    <xf numFmtId="0" fontId="164" fillId="0" borderId="57" xfId="0" applyFont="1" applyBorder="1" applyAlignment="1">
      <alignment vertical="center"/>
    </xf>
    <xf numFmtId="0" fontId="164" fillId="0" borderId="58" xfId="0" applyFont="1" applyBorder="1" applyAlignment="1">
      <alignment vertical="center"/>
    </xf>
    <xf numFmtId="0" fontId="29" fillId="27" borderId="62" xfId="0" applyFont="1" applyFill="1" applyBorder="1" applyAlignment="1">
      <alignment horizontal="left" vertical="center" wrapText="1"/>
    </xf>
    <xf numFmtId="0" fontId="29" fillId="27" borderId="199" xfId="0" applyFont="1" applyFill="1" applyBorder="1" applyAlignment="1" applyProtection="1">
      <alignment horizontal="left" vertical="center" wrapText="1"/>
    </xf>
    <xf numFmtId="0" fontId="164" fillId="0" borderId="179" xfId="0" applyFont="1" applyBorder="1" applyAlignment="1">
      <alignment horizontal="left" vertical="center" wrapText="1"/>
    </xf>
    <xf numFmtId="0" fontId="38" fillId="0" borderId="53" xfId="0" applyFont="1" applyBorder="1" applyAlignment="1" applyProtection="1">
      <alignment horizontal="left" vertical="top" wrapText="1"/>
    </xf>
    <xf numFmtId="0" fontId="0" fillId="0" borderId="163" xfId="0" applyBorder="1" applyAlignment="1">
      <alignment horizontal="left" vertical="center" wrapText="1"/>
    </xf>
    <xf numFmtId="0" fontId="0" fillId="0" borderId="164" xfId="0" applyBorder="1" applyAlignment="1">
      <alignment horizontal="left" vertical="center" wrapText="1"/>
    </xf>
    <xf numFmtId="0" fontId="164" fillId="27" borderId="166" xfId="0" applyFont="1" applyFill="1" applyBorder="1" applyAlignment="1">
      <alignment horizontal="center" vertical="center" wrapText="1"/>
    </xf>
    <xf numFmtId="0" fontId="29" fillId="27" borderId="173" xfId="0" applyFont="1" applyFill="1" applyBorder="1" applyAlignment="1" applyProtection="1">
      <alignment horizontal="left" vertical="center" wrapText="1"/>
      <protection locked="0"/>
    </xf>
    <xf numFmtId="0" fontId="29" fillId="27" borderId="87" xfId="0" applyFont="1" applyFill="1" applyBorder="1" applyAlignment="1" applyProtection="1">
      <alignment horizontal="left" vertical="center" wrapText="1"/>
      <protection locked="0"/>
    </xf>
    <xf numFmtId="0" fontId="29" fillId="27" borderId="55" xfId="0" applyFont="1" applyFill="1" applyBorder="1" applyAlignment="1">
      <alignment horizontal="center" vertical="center" wrapText="1"/>
    </xf>
    <xf numFmtId="0" fontId="29" fillId="27" borderId="174" xfId="0" applyFont="1" applyFill="1" applyBorder="1" applyAlignment="1">
      <alignment vertical="center" wrapText="1"/>
    </xf>
    <xf numFmtId="0" fontId="164" fillId="0" borderId="179" xfId="0" applyFont="1" applyBorder="1" applyAlignment="1">
      <alignment vertical="center" wrapText="1"/>
    </xf>
    <xf numFmtId="0" fontId="164" fillId="0" borderId="180" xfId="0" applyFont="1" applyBorder="1" applyAlignment="1">
      <alignment vertical="center" wrapText="1"/>
    </xf>
    <xf numFmtId="0" fontId="7" fillId="0" borderId="163" xfId="0" applyFont="1" applyBorder="1" applyAlignment="1">
      <alignment horizontal="left" vertical="center" wrapText="1"/>
    </xf>
    <xf numFmtId="0" fontId="7" fillId="0" borderId="164" xfId="0" applyFont="1" applyBorder="1" applyAlignment="1">
      <alignment horizontal="left" vertical="center" wrapText="1"/>
    </xf>
    <xf numFmtId="176" fontId="29" fillId="27" borderId="12" xfId="0" applyNumberFormat="1" applyFont="1" applyFill="1" applyBorder="1" applyAlignment="1" applyProtection="1">
      <alignment horizontal="left" vertical="center" wrapText="1"/>
      <protection hidden="1"/>
    </xf>
    <xf numFmtId="0" fontId="29" fillId="27" borderId="26" xfId="0" applyFont="1" applyFill="1" applyBorder="1" applyAlignment="1">
      <alignment horizontal="center" vertical="center"/>
    </xf>
    <xf numFmtId="0" fontId="29" fillId="27" borderId="50" xfId="0" applyFont="1" applyFill="1" applyBorder="1" applyAlignment="1">
      <alignment horizontal="center" vertical="center"/>
    </xf>
    <xf numFmtId="0" fontId="29" fillId="27" borderId="27" xfId="0" applyFont="1" applyFill="1" applyBorder="1" applyAlignment="1">
      <alignment horizontal="center" vertical="center"/>
    </xf>
    <xf numFmtId="0" fontId="29" fillId="27" borderId="162" xfId="0" applyFont="1" applyFill="1" applyBorder="1" applyAlignment="1">
      <alignment vertical="center" wrapText="1"/>
    </xf>
    <xf numFmtId="0" fontId="164" fillId="0" borderId="163" xfId="0" applyFont="1" applyBorder="1" applyAlignment="1">
      <alignment vertical="center" wrapText="1"/>
    </xf>
    <xf numFmtId="0" fontId="164" fillId="0" borderId="164" xfId="0" applyFont="1" applyBorder="1" applyAlignment="1">
      <alignment vertical="center" wrapText="1"/>
    </xf>
    <xf numFmtId="0" fontId="29" fillId="27" borderId="52" xfId="0" applyFont="1" applyFill="1" applyBorder="1" applyAlignment="1">
      <alignment vertical="center" wrapText="1"/>
    </xf>
    <xf numFmtId="0" fontId="164" fillId="0" borderId="54" xfId="0" applyFont="1" applyBorder="1" applyAlignment="1">
      <alignment vertical="center" wrapText="1"/>
    </xf>
    <xf numFmtId="0" fontId="164" fillId="0" borderId="173" xfId="0" applyFont="1" applyBorder="1" applyAlignment="1">
      <alignment vertical="center" wrapText="1"/>
    </xf>
    <xf numFmtId="0" fontId="164" fillId="0" borderId="193" xfId="0" applyFont="1" applyBorder="1" applyAlignment="1">
      <alignment vertical="center" wrapText="1"/>
    </xf>
    <xf numFmtId="0" fontId="164" fillId="0" borderId="64" xfId="0" applyFont="1" applyBorder="1" applyAlignment="1">
      <alignment vertical="center" wrapText="1"/>
    </xf>
    <xf numFmtId="0" fontId="164" fillId="0" borderId="17" xfId="0" applyFont="1" applyBorder="1" applyAlignment="1">
      <alignment vertical="center" wrapText="1"/>
    </xf>
    <xf numFmtId="0" fontId="29" fillId="27" borderId="185" xfId="0" applyFont="1" applyFill="1" applyBorder="1" applyAlignment="1">
      <alignment vertical="center" wrapText="1"/>
    </xf>
    <xf numFmtId="0" fontId="164" fillId="0" borderId="215" xfId="0" applyFont="1" applyBorder="1" applyAlignment="1">
      <alignment vertical="center" wrapText="1"/>
    </xf>
    <xf numFmtId="0" fontId="29" fillId="27" borderId="12" xfId="0" applyFont="1" applyFill="1" applyBorder="1" applyAlignment="1">
      <alignment vertical="center" wrapText="1"/>
    </xf>
    <xf numFmtId="0" fontId="164" fillId="51" borderId="100" xfId="0" applyFont="1" applyFill="1" applyBorder="1" applyAlignment="1" applyProtection="1">
      <alignment horizontal="center" vertical="center"/>
      <protection locked="0"/>
    </xf>
    <xf numFmtId="176" fontId="29" fillId="27" borderId="13" xfId="0" applyNumberFormat="1" applyFont="1" applyFill="1" applyBorder="1" applyAlignment="1" applyProtection="1">
      <alignment horizontal="left" vertical="center" wrapText="1"/>
      <protection hidden="1"/>
    </xf>
    <xf numFmtId="176" fontId="29" fillId="27" borderId="14" xfId="0" applyNumberFormat="1" applyFont="1" applyFill="1" applyBorder="1" applyAlignment="1" applyProtection="1">
      <alignment horizontal="left" vertical="center" wrapText="1"/>
      <protection hidden="1"/>
    </xf>
    <xf numFmtId="0" fontId="29" fillId="27" borderId="214" xfId="0" applyFont="1" applyFill="1" applyBorder="1" applyAlignment="1">
      <alignment vertical="center" wrapText="1"/>
    </xf>
    <xf numFmtId="0" fontId="164" fillId="0" borderId="118" xfId="0" applyFont="1" applyBorder="1" applyAlignment="1">
      <alignment vertical="center" wrapText="1"/>
    </xf>
    <xf numFmtId="0" fontId="29" fillId="27" borderId="173" xfId="0" applyFont="1" applyFill="1" applyBorder="1" applyAlignment="1">
      <alignment vertical="center" wrapText="1"/>
    </xf>
    <xf numFmtId="0" fontId="164" fillId="0" borderId="87" xfId="0" applyFont="1" applyBorder="1" applyAlignment="1">
      <alignment vertical="center" wrapText="1"/>
    </xf>
    <xf numFmtId="0" fontId="164" fillId="0" borderId="120" xfId="0" applyFont="1" applyBorder="1" applyAlignment="1">
      <alignment vertical="center" wrapText="1"/>
    </xf>
    <xf numFmtId="0" fontId="164" fillId="0" borderId="56" xfId="0" applyFont="1" applyBorder="1" applyAlignment="1">
      <alignment vertical="center" wrapText="1"/>
    </xf>
    <xf numFmtId="0" fontId="164" fillId="0" borderId="58" xfId="0" applyFont="1" applyBorder="1" applyAlignment="1">
      <alignment vertical="center" wrapText="1"/>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shrinkToFit="1"/>
    </xf>
    <xf numFmtId="0" fontId="0" fillId="0" borderId="0" xfId="0" applyAlignment="1" applyProtection="1">
      <alignment horizontal="left" vertical="center" shrinkToFit="1"/>
    </xf>
    <xf numFmtId="0" fontId="29" fillId="29" borderId="0" xfId="0" applyFont="1" applyFill="1" applyBorder="1" applyAlignment="1" applyProtection="1">
      <alignment horizontal="left" vertical="center"/>
    </xf>
    <xf numFmtId="0" fontId="34" fillId="41" borderId="51" xfId="0" applyFont="1" applyFill="1" applyBorder="1" applyAlignment="1" applyProtection="1">
      <alignment horizontal="center" vertical="center"/>
      <protection locked="0"/>
    </xf>
    <xf numFmtId="0" fontId="34" fillId="41" borderId="15" xfId="0" applyFont="1" applyFill="1" applyBorder="1" applyAlignment="1" applyProtection="1">
      <alignment horizontal="center" vertical="center"/>
      <protection locked="0"/>
    </xf>
    <xf numFmtId="0" fontId="34" fillId="41" borderId="55" xfId="0" applyFont="1" applyFill="1" applyBorder="1" applyAlignment="1" applyProtection="1">
      <alignment horizontal="center" vertical="center"/>
      <protection locked="0"/>
    </xf>
    <xf numFmtId="0" fontId="34" fillId="27" borderId="15" xfId="0" applyFont="1" applyFill="1" applyBorder="1" applyAlignment="1">
      <alignment horizontal="center" vertical="center" wrapText="1"/>
    </xf>
    <xf numFmtId="0" fontId="34" fillId="27" borderId="64" xfId="0" applyFont="1" applyFill="1" applyBorder="1" applyAlignment="1">
      <alignment horizontal="center" vertical="center" wrapText="1"/>
    </xf>
    <xf numFmtId="0" fontId="34" fillId="27" borderId="10" xfId="0" applyFont="1" applyFill="1" applyBorder="1" applyAlignment="1">
      <alignment horizontal="center" vertical="center"/>
    </xf>
    <xf numFmtId="0" fontId="34" fillId="27" borderId="26" xfId="0" applyFont="1" applyFill="1" applyBorder="1" applyAlignment="1">
      <alignment horizontal="center" vertical="center"/>
    </xf>
    <xf numFmtId="0" fontId="34" fillId="27" borderId="27" xfId="0" applyFont="1" applyFill="1" applyBorder="1" applyAlignment="1">
      <alignment horizontal="center" vertical="center"/>
    </xf>
    <xf numFmtId="0" fontId="34" fillId="27" borderId="51" xfId="0" applyFont="1" applyFill="1" applyBorder="1" applyAlignment="1">
      <alignment horizontal="center" vertical="center" wrapText="1"/>
    </xf>
    <xf numFmtId="0" fontId="34" fillId="27" borderId="15" xfId="0" applyFont="1" applyFill="1" applyBorder="1" applyAlignment="1">
      <alignment horizontal="center" vertical="center"/>
    </xf>
    <xf numFmtId="0" fontId="34" fillId="27" borderId="55" xfId="0" applyFont="1" applyFill="1" applyBorder="1" applyAlignment="1">
      <alignment horizontal="center" vertical="center"/>
    </xf>
    <xf numFmtId="2" fontId="34" fillId="35" borderId="10" xfId="0" applyNumberFormat="1" applyFont="1" applyFill="1" applyBorder="1" applyAlignment="1" applyProtection="1">
      <alignment horizontal="center"/>
      <protection hidden="1"/>
    </xf>
    <xf numFmtId="2" fontId="34" fillId="35" borderId="51" xfId="0" applyNumberFormat="1" applyFont="1" applyFill="1" applyBorder="1" applyAlignment="1" applyProtection="1">
      <alignment horizontal="center"/>
      <protection hidden="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8"/>
    <cellStyle name="標準_070627LCCO2計算" xfId="44"/>
    <cellStyle name="標準_070627LCCO2計算_100308事業者別CO2排出係数シート案" xfId="45"/>
    <cellStyle name="標準_選定シートV1.0" xfId="46"/>
    <cellStyle name="良い" xfId="47" builtinId="26" customBuiltin="1"/>
  </cellStyles>
  <dxfs count="240">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41"/>
        </patternFill>
      </fill>
    </dxf>
    <dxf>
      <fill>
        <patternFill>
          <bgColor indexed="22"/>
        </patternFill>
      </fill>
    </dxf>
    <dxf>
      <fill>
        <patternFill>
          <bgColor indexed="27"/>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ont>
        <b/>
        <i val="0"/>
        <condense val="0"/>
        <extend val="0"/>
        <color indexed="10"/>
      </font>
    </dxf>
    <dxf>
      <font>
        <b/>
        <i val="0"/>
        <condense val="0"/>
        <extend val="0"/>
        <color indexed="10"/>
      </font>
    </dxf>
    <dxf>
      <font>
        <b/>
        <i val="0"/>
        <condense val="0"/>
        <extend val="0"/>
        <color indexed="10"/>
      </font>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6"/>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patternType="lightTrellis"/>
      </fill>
    </dxf>
    <dxf>
      <fill>
        <patternFill patternType="lightTrellis"/>
      </fill>
    </dxf>
    <dxf>
      <fill>
        <patternFill>
          <bgColor indexed="27"/>
        </patternFill>
      </fill>
    </dxf>
    <dxf>
      <fill>
        <patternFill>
          <bgColor rgb="FFCCFFFF"/>
        </patternFill>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Trellis"/>
      </fill>
    </dxf>
    <dxf>
      <fill>
        <patternFill>
          <bgColor indexed="27"/>
        </patternFill>
      </fill>
    </dxf>
    <dxf>
      <fill>
        <patternFill patternType="lightTrellis"/>
      </fill>
    </dxf>
    <dxf>
      <fill>
        <patternFill>
          <bgColor indexed="27"/>
        </patternFill>
      </fill>
    </dxf>
    <dxf>
      <font>
        <condense val="0"/>
        <extend val="0"/>
        <color auto="1"/>
      </font>
      <fill>
        <patternFill>
          <bgColor indexed="47"/>
        </patternFill>
      </fill>
    </dxf>
    <dxf>
      <fill>
        <patternFill>
          <bgColor indexed="4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CC99FF"/>
      <color rgb="FFCCFFFF"/>
      <color rgb="FFCCCCFF"/>
      <color rgb="FF008000"/>
      <color rgb="FFFFFFCC"/>
      <color rgb="FFCCECFF"/>
      <color rgb="FF00CC00"/>
      <color rgb="FF33CC33"/>
      <color rgb="FFFF66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image" Target="../media/image4.png"/></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xml.rels><?xml version="1.0" encoding="UTF-8" standalone="yes"?>
<Relationships xmlns="http://schemas.openxmlformats.org/package/2006/relationships"><Relationship Id="rId1" Type="http://schemas.openxmlformats.org/officeDocument/2006/relationships/image" Target="../media/image4.png"/></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結果_IS!$S$13</c:f>
              <c:numCache>
                <c:formatCode>#,##0.0;[Red]\-#,##0.0</c:formatCode>
                <c:ptCount val="1"/>
                <c:pt idx="0">
                  <c:v>0</c:v>
                </c:pt>
              </c:numCache>
            </c:numRef>
          </c:val>
          <c:extLst xmlns:c16r2="http://schemas.microsoft.com/office/drawing/2015/06/chart">
            <c:ext xmlns:c16="http://schemas.microsoft.com/office/drawing/2014/chart" uri="{C3380CC4-5D6E-409C-BE32-E72D297353CC}">
              <c16:uniqueId val="{00000000-9686-44FC-B5F3-06D2A6A05E7D}"/>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結果_IS!$S$14</c:f>
              <c:numCache>
                <c:formatCode>#,##0.0;[Red]\-#,##0.0</c:formatCode>
                <c:ptCount val="1"/>
                <c:pt idx="0">
                  <c:v>0</c:v>
                </c:pt>
              </c:numCache>
            </c:numRef>
          </c:val>
          <c:extLst xmlns:c16r2="http://schemas.microsoft.com/office/drawing/2015/06/chart">
            <c:ext xmlns:c16="http://schemas.microsoft.com/office/drawing/2014/chart" uri="{C3380CC4-5D6E-409C-BE32-E72D297353CC}">
              <c16:uniqueId val="{00000001-9686-44FC-B5F3-06D2A6A05E7D}"/>
            </c:ext>
          </c:extLst>
        </c:ser>
        <c:dLbls>
          <c:showLegendKey val="0"/>
          <c:showVal val="0"/>
          <c:showCatName val="0"/>
          <c:showSerName val="0"/>
          <c:showPercent val="0"/>
          <c:showBubbleSize val="0"/>
        </c:dLbls>
        <c:gapWidth val="50"/>
        <c:overlap val="100"/>
        <c:axId val="161783344"/>
        <c:axId val="161826800"/>
      </c:barChart>
      <c:catAx>
        <c:axId val="161783344"/>
        <c:scaling>
          <c:orientation val="minMax"/>
        </c:scaling>
        <c:delete val="1"/>
        <c:axPos val="l"/>
        <c:numFmt formatCode="General" sourceLinked="1"/>
        <c:majorTickMark val="out"/>
        <c:minorTickMark val="none"/>
        <c:tickLblPos val="nextTo"/>
        <c:crossAx val="161826800"/>
        <c:crosses val="autoZero"/>
        <c:auto val="1"/>
        <c:lblAlgn val="ctr"/>
        <c:lblOffset val="100"/>
        <c:noMultiLvlLbl val="0"/>
      </c:catAx>
      <c:valAx>
        <c:axId val="161826800"/>
        <c:scaling>
          <c:orientation val="minMax"/>
        </c:scaling>
        <c:delete val="1"/>
        <c:axPos val="b"/>
        <c:numFmt formatCode="0%" sourceLinked="1"/>
        <c:majorTickMark val="out"/>
        <c:minorTickMark val="none"/>
        <c:tickLblPos val="nextTo"/>
        <c:crossAx val="16178334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結果!$S$13</c:f>
              <c:numCache>
                <c:formatCode>#,##0.0;[Red]\-#,##0.0</c:formatCode>
                <c:ptCount val="1"/>
                <c:pt idx="0">
                  <c:v>0</c:v>
                </c:pt>
              </c:numCache>
            </c:numRef>
          </c:val>
          <c:extLst xmlns:c16r2="http://schemas.microsoft.com/office/drawing/2015/06/chart">
            <c:ext xmlns:c16="http://schemas.microsoft.com/office/drawing/2014/chart" uri="{C3380CC4-5D6E-409C-BE32-E72D297353CC}">
              <c16:uniqueId val="{00000000-8EF9-4CA9-8537-79A714028E9E}"/>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結果!$S$14</c:f>
              <c:numCache>
                <c:formatCode>#,##0.0;[Red]\-#,##0.0</c:formatCode>
                <c:ptCount val="1"/>
                <c:pt idx="0">
                  <c:v>0</c:v>
                </c:pt>
              </c:numCache>
            </c:numRef>
          </c:val>
          <c:extLst xmlns:c16r2="http://schemas.microsoft.com/office/drawing/2015/06/chart">
            <c:ext xmlns:c16="http://schemas.microsoft.com/office/drawing/2014/chart" uri="{C3380CC4-5D6E-409C-BE32-E72D297353CC}">
              <c16:uniqueId val="{00000001-8EF9-4CA9-8537-79A714028E9E}"/>
            </c:ext>
          </c:extLst>
        </c:ser>
        <c:dLbls>
          <c:showLegendKey val="0"/>
          <c:showVal val="0"/>
          <c:showCatName val="0"/>
          <c:showSerName val="0"/>
          <c:showPercent val="0"/>
          <c:showBubbleSize val="0"/>
        </c:dLbls>
        <c:gapWidth val="50"/>
        <c:overlap val="100"/>
        <c:axId val="163358816"/>
        <c:axId val="163359208"/>
      </c:barChart>
      <c:catAx>
        <c:axId val="163358816"/>
        <c:scaling>
          <c:orientation val="minMax"/>
        </c:scaling>
        <c:delete val="1"/>
        <c:axPos val="l"/>
        <c:numFmt formatCode="General" sourceLinked="1"/>
        <c:majorTickMark val="out"/>
        <c:minorTickMark val="none"/>
        <c:tickLblPos val="nextTo"/>
        <c:crossAx val="163359208"/>
        <c:crosses val="autoZero"/>
        <c:auto val="1"/>
        <c:lblAlgn val="ctr"/>
        <c:lblOffset val="100"/>
        <c:noMultiLvlLbl val="0"/>
      </c:catAx>
      <c:valAx>
        <c:axId val="163359208"/>
        <c:scaling>
          <c:orientation val="minMax"/>
        </c:scaling>
        <c:delete val="1"/>
        <c:axPos val="b"/>
        <c:numFmt formatCode="0%" sourceLinked="1"/>
        <c:majorTickMark val="out"/>
        <c:minorTickMark val="none"/>
        <c:tickLblPos val="nextTo"/>
        <c:crossAx val="163358816"/>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xmlns:c16r2="http://schemas.microsoft.com/office/drawing/2015/06/chart">
              <c:ext xmlns:c16="http://schemas.microsoft.com/office/drawing/2014/chart" uri="{C3380CC4-5D6E-409C-BE32-E72D297353CC}">
                <c16:uniqueId val="{00000001-8AB5-4660-93C7-84F6413AD0CF}"/>
              </c:ext>
            </c:extLst>
          </c:dPt>
          <c:cat>
            <c:strRef>
              <c:f>結果!$R$36</c:f>
              <c:strCache>
                <c:ptCount val="1"/>
                <c:pt idx="0">
                  <c:v>Rank(green star)</c:v>
                </c:pt>
              </c:strCache>
            </c:strRef>
          </c:cat>
          <c:val>
            <c:numRef>
              <c:f>結果!$S$36</c:f>
              <c:numCache>
                <c:formatCode>#,##0.0;[Red]\-#,##0.0</c:formatCode>
                <c:ptCount val="1"/>
                <c:pt idx="0">
                  <c:v>0</c:v>
                </c:pt>
              </c:numCache>
            </c:numRef>
          </c:val>
          <c:extLst xmlns:c16r2="http://schemas.microsoft.com/office/drawing/2015/06/chart">
            <c:ext xmlns:c16="http://schemas.microsoft.com/office/drawing/2014/chart" uri="{C3380CC4-5D6E-409C-BE32-E72D297353CC}">
              <c16:uniqueId val="{00000002-8AB5-4660-93C7-84F6413AD0CF}"/>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結果!$R$36</c:f>
              <c:strCache>
                <c:ptCount val="1"/>
                <c:pt idx="0">
                  <c:v>Rank(green star)</c:v>
                </c:pt>
              </c:strCache>
            </c:strRef>
          </c:cat>
          <c:val>
            <c:numRef>
              <c:f>結果!$S$37</c:f>
              <c:numCache>
                <c:formatCode>#,##0.0;[Red]\-#,##0.0</c:formatCode>
                <c:ptCount val="1"/>
                <c:pt idx="0">
                  <c:v>0</c:v>
                </c:pt>
              </c:numCache>
            </c:numRef>
          </c:val>
          <c:extLst xmlns:c16r2="http://schemas.microsoft.com/office/drawing/2015/06/chart">
            <c:ext xmlns:c16="http://schemas.microsoft.com/office/drawing/2014/chart" uri="{C3380CC4-5D6E-409C-BE32-E72D297353CC}">
              <c16:uniqueId val="{00000003-8AB5-4660-93C7-84F6413AD0CF}"/>
            </c:ext>
          </c:extLst>
        </c:ser>
        <c:dLbls>
          <c:showLegendKey val="0"/>
          <c:showVal val="0"/>
          <c:showCatName val="0"/>
          <c:showSerName val="0"/>
          <c:showPercent val="0"/>
          <c:showBubbleSize val="0"/>
        </c:dLbls>
        <c:gapWidth val="50"/>
        <c:overlap val="100"/>
        <c:axId val="160862768"/>
        <c:axId val="160861200"/>
      </c:barChart>
      <c:catAx>
        <c:axId val="160862768"/>
        <c:scaling>
          <c:orientation val="minMax"/>
        </c:scaling>
        <c:delete val="1"/>
        <c:axPos val="l"/>
        <c:numFmt formatCode="General" sourceLinked="1"/>
        <c:majorTickMark val="out"/>
        <c:minorTickMark val="none"/>
        <c:tickLblPos val="nextTo"/>
        <c:crossAx val="160861200"/>
        <c:crosses val="autoZero"/>
        <c:auto val="1"/>
        <c:lblAlgn val="ctr"/>
        <c:lblOffset val="100"/>
        <c:noMultiLvlLbl val="0"/>
      </c:catAx>
      <c:valAx>
        <c:axId val="160861200"/>
        <c:scaling>
          <c:orientation val="minMax"/>
        </c:scaling>
        <c:delete val="1"/>
        <c:axPos val="b"/>
        <c:numFmt formatCode="0%" sourceLinked="1"/>
        <c:majorTickMark val="out"/>
        <c:minorTickMark val="none"/>
        <c:tickLblPos val="nextTo"/>
        <c:crossAx val="16086276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結果!$S$30</c:f>
              <c:strCache>
                <c:ptCount val="1"/>
                <c:pt idx="0">
                  <c:v>S</c:v>
                </c:pt>
              </c:strCache>
            </c:strRef>
          </c:tx>
          <c:spPr>
            <a:pattFill prst="pct70">
              <a:fgClr>
                <a:srgbClr val="339966"/>
              </a:fgClr>
              <a:bgClr>
                <a:srgbClr val="FFFFFF"/>
              </a:bgClr>
            </a:pattFill>
            <a:ln w="12700">
              <a:solidFill>
                <a:srgbClr val="000000"/>
              </a:solidFill>
              <a:prstDash val="solid"/>
            </a:ln>
          </c:spPr>
          <c:cat>
            <c:numRef>
              <c:f>結果!$T$24:$U$24</c:f>
              <c:numCache>
                <c:formatCode>General</c:formatCode>
                <c:ptCount val="2"/>
                <c:pt idx="0" formatCode="#,##0_);[Red]\(#,##0\)">
                  <c:v>0</c:v>
                </c:pt>
                <c:pt idx="1">
                  <c:v>0</c:v>
                </c:pt>
              </c:numCache>
            </c:numRef>
          </c:cat>
          <c:val>
            <c:numRef>
              <c:f>結果!$T$30:$Z$30</c:f>
              <c:numCache>
                <c:formatCode>General</c:formatCode>
                <c:ptCount val="7"/>
                <c:pt idx="0">
                  <c:v>100</c:v>
                </c:pt>
                <c:pt idx="1">
                  <c:v>100</c:v>
                </c:pt>
                <c:pt idx="2">
                  <c:v>100</c:v>
                </c:pt>
                <c:pt idx="3">
                  <c:v>100</c:v>
                </c:pt>
                <c:pt idx="4">
                  <c:v>100</c:v>
                </c:pt>
                <c:pt idx="5">
                  <c:v>100</c:v>
                </c:pt>
                <c:pt idx="6">
                  <c:v>100</c:v>
                </c:pt>
              </c:numCache>
            </c:numRef>
          </c:val>
          <c:extLst xmlns:c16r2="http://schemas.microsoft.com/office/drawing/2015/06/chart">
            <c:ext xmlns:c16="http://schemas.microsoft.com/office/drawing/2014/chart" uri="{C3380CC4-5D6E-409C-BE32-E72D297353CC}">
              <c16:uniqueId val="{00000000-0825-42C2-81AA-BAB6B8C14CEB}"/>
            </c:ext>
          </c:extLst>
        </c:ser>
        <c:ser>
          <c:idx val="3"/>
          <c:order val="4"/>
          <c:tx>
            <c:strRef>
              <c:f>結果!$S$31</c:f>
              <c:strCache>
                <c:ptCount val="1"/>
                <c:pt idx="0">
                  <c:v>A</c:v>
                </c:pt>
              </c:strCache>
            </c:strRef>
          </c:tx>
          <c:spPr>
            <a:pattFill prst="pct90">
              <a:fgClr>
                <a:srgbClr val="CCFFCC"/>
              </a:fgClr>
              <a:bgClr>
                <a:srgbClr val="FFFFFF"/>
              </a:bgClr>
            </a:pattFill>
            <a:ln w="12700">
              <a:solidFill>
                <a:srgbClr val="000000"/>
              </a:solidFill>
              <a:prstDash val="solid"/>
            </a:ln>
          </c:spPr>
          <c:cat>
            <c:numRef>
              <c:f>結果!$T$24:$U$24</c:f>
              <c:numCache>
                <c:formatCode>General</c:formatCode>
                <c:ptCount val="2"/>
                <c:pt idx="0" formatCode="#,##0_);[Red]\(#,##0\)">
                  <c:v>0</c:v>
                </c:pt>
                <c:pt idx="1">
                  <c:v>0</c:v>
                </c:pt>
              </c:numCache>
            </c:numRef>
          </c:cat>
          <c:val>
            <c:numRef>
              <c:f>結果!$T$31:$Z$31</c:f>
              <c:numCache>
                <c:formatCode>General</c:formatCode>
                <c:ptCount val="7"/>
                <c:pt idx="0">
                  <c:v>50</c:v>
                </c:pt>
                <c:pt idx="1">
                  <c:v>50</c:v>
                </c:pt>
                <c:pt idx="2">
                  <c:v>100</c:v>
                </c:pt>
                <c:pt idx="3">
                  <c:v>100</c:v>
                </c:pt>
                <c:pt idx="4">
                  <c:v>100</c:v>
                </c:pt>
                <c:pt idx="5">
                  <c:v>100</c:v>
                </c:pt>
                <c:pt idx="6">
                  <c:v>100</c:v>
                </c:pt>
              </c:numCache>
            </c:numRef>
          </c:val>
          <c:extLst xmlns:c16r2="http://schemas.microsoft.com/office/drawing/2015/06/chart">
            <c:ext xmlns:c16="http://schemas.microsoft.com/office/drawing/2014/chart" uri="{C3380CC4-5D6E-409C-BE32-E72D297353CC}">
              <c16:uniqueId val="{00000001-0825-42C2-81AA-BAB6B8C14CEB}"/>
            </c:ext>
          </c:extLst>
        </c:ser>
        <c:ser>
          <c:idx val="2"/>
          <c:order val="5"/>
          <c:tx>
            <c:strRef>
              <c:f>結果!$S$32</c:f>
              <c:strCache>
                <c:ptCount val="1"/>
                <c:pt idx="0">
                  <c:v>B+</c:v>
                </c:pt>
              </c:strCache>
            </c:strRef>
          </c:tx>
          <c:spPr>
            <a:solidFill>
              <a:srgbClr val="FFFFCC"/>
            </a:solidFill>
            <a:ln w="12700">
              <a:solidFill>
                <a:srgbClr val="000000"/>
              </a:solidFill>
              <a:prstDash val="solid"/>
            </a:ln>
          </c:spPr>
          <c:cat>
            <c:numRef>
              <c:f>結果!$T$24:$U$24</c:f>
              <c:numCache>
                <c:formatCode>General</c:formatCode>
                <c:ptCount val="2"/>
                <c:pt idx="0" formatCode="#,##0_);[Red]\(#,##0\)">
                  <c:v>0</c:v>
                </c:pt>
                <c:pt idx="1">
                  <c:v>0</c:v>
                </c:pt>
              </c:numCache>
            </c:numRef>
          </c:cat>
          <c:val>
            <c:numRef>
              <c:f>結果!$T$32:$Z$32</c:f>
              <c:numCache>
                <c:formatCode>General</c:formatCode>
                <c:ptCount val="7"/>
                <c:pt idx="0">
                  <c:v>0</c:v>
                </c:pt>
                <c:pt idx="1">
                  <c:v>25</c:v>
                </c:pt>
                <c:pt idx="2">
                  <c:v>50</c:v>
                </c:pt>
                <c:pt idx="3">
                  <c:v>75</c:v>
                </c:pt>
                <c:pt idx="4">
                  <c:v>100</c:v>
                </c:pt>
                <c:pt idx="5">
                  <c:v>100</c:v>
                </c:pt>
                <c:pt idx="6">
                  <c:v>100</c:v>
                </c:pt>
              </c:numCache>
            </c:numRef>
          </c:val>
          <c:extLst xmlns:c16r2="http://schemas.microsoft.com/office/drawing/2015/06/chart">
            <c:ext xmlns:c16="http://schemas.microsoft.com/office/drawing/2014/chart" uri="{C3380CC4-5D6E-409C-BE32-E72D297353CC}">
              <c16:uniqueId val="{00000002-0825-42C2-81AA-BAB6B8C14CEB}"/>
            </c:ext>
          </c:extLst>
        </c:ser>
        <c:ser>
          <c:idx val="1"/>
          <c:order val="6"/>
          <c:tx>
            <c:strRef>
              <c:f>結果!$S$34</c:f>
              <c:strCache>
                <c:ptCount val="1"/>
                <c:pt idx="0">
                  <c:v>B-</c:v>
                </c:pt>
              </c:strCache>
            </c:strRef>
          </c:tx>
          <c:spPr>
            <a:solidFill>
              <a:srgbClr val="FFFFFF"/>
            </a:solidFill>
            <a:ln w="12700">
              <a:solidFill>
                <a:srgbClr val="000000"/>
              </a:solidFill>
              <a:prstDash val="solid"/>
            </a:ln>
          </c:spPr>
          <c:cat>
            <c:numRef>
              <c:f>結果!$T$24:$U$24</c:f>
              <c:numCache>
                <c:formatCode>General</c:formatCode>
                <c:ptCount val="2"/>
                <c:pt idx="0" formatCode="#,##0_);[Red]\(#,##0\)">
                  <c:v>0</c:v>
                </c:pt>
                <c:pt idx="1">
                  <c:v>0</c:v>
                </c:pt>
              </c:numCache>
            </c:numRef>
          </c:cat>
          <c:val>
            <c:numRef>
              <c:f>結果!$T$34:$Z$34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xmlns:c16r2="http://schemas.microsoft.com/office/drawing/2015/06/chart">
            <c:ext xmlns:c16="http://schemas.microsoft.com/office/drawing/2014/chart" uri="{C3380CC4-5D6E-409C-BE32-E72D297353CC}">
              <c16:uniqueId val="{00000003-0825-42C2-81AA-BAB6B8C14CEB}"/>
            </c:ext>
          </c:extLst>
        </c:ser>
        <c:ser>
          <c:idx val="0"/>
          <c:order val="7"/>
          <c:tx>
            <c:strRef>
              <c:f>結果!$S$33</c:f>
              <c:strCache>
                <c:ptCount val="1"/>
                <c:pt idx="0">
                  <c:v>B</c:v>
                </c:pt>
              </c:strCache>
            </c:strRef>
          </c:tx>
          <c:spPr>
            <a:noFill/>
            <a:ln w="12700">
              <a:solidFill>
                <a:srgbClr val="000000"/>
              </a:solidFill>
              <a:prstDash val="solid"/>
            </a:ln>
          </c:spPr>
          <c:cat>
            <c:numRef>
              <c:f>結果!$T$24:$U$24</c:f>
              <c:numCache>
                <c:formatCode>General</c:formatCode>
                <c:ptCount val="2"/>
                <c:pt idx="0" formatCode="#,##0_);[Red]\(#,##0\)">
                  <c:v>0</c:v>
                </c:pt>
                <c:pt idx="1">
                  <c:v>0</c:v>
                </c:pt>
              </c:numCache>
            </c:numRef>
          </c:cat>
          <c:val>
            <c:numRef>
              <c:f>結果!$T$33:$Z$33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xmlns:c16r2="http://schemas.microsoft.com/office/drawing/2015/06/chart">
            <c:ext xmlns:c16="http://schemas.microsoft.com/office/drawing/2014/chart" uri="{C3380CC4-5D6E-409C-BE32-E72D297353CC}">
              <c16:uniqueId val="{00000004-0825-42C2-81AA-BAB6B8C14CEB}"/>
            </c:ext>
          </c:extLst>
        </c:ser>
        <c:dLbls>
          <c:showLegendKey val="0"/>
          <c:showVal val="0"/>
          <c:showCatName val="0"/>
          <c:showSerName val="0"/>
          <c:showPercent val="0"/>
          <c:showBubbleSize val="0"/>
        </c:dLbls>
        <c:axId val="160860808"/>
        <c:axId val="160864728"/>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xmlns:c16r2="http://schemas.microsoft.com/office/drawing/2015/06/chart">
              <c:ext xmlns:c16="http://schemas.microsoft.com/office/drawing/2014/chart" uri="{C3380CC4-5D6E-409C-BE32-E72D297353CC}">
                <c16:uniqueId val="{00000006-0825-42C2-81AA-BAB6B8C14CEB}"/>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7-0825-42C2-81AA-BAB6B8C14CEB}"/>
                </c:ext>
                <c:ext xmlns:c15="http://schemas.microsoft.com/office/drawing/2012/chart" uri="{CE6537A1-D6FC-4f65-9D91-7224C49458BB}"/>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825-42C2-81AA-BAB6B8C14CEB}"/>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結果!$R$26:$U$26</c:f>
              <c:numCache>
                <c:formatCode>General</c:formatCode>
                <c:ptCount val="4"/>
                <c:pt idx="0">
                  <c:v>0</c:v>
                </c:pt>
                <c:pt idx="1">
                  <c:v>0</c:v>
                </c:pt>
                <c:pt idx="2" formatCode="#,##0_);[Red]\(#,##0\)">
                  <c:v>0</c:v>
                </c:pt>
                <c:pt idx="3">
                  <c:v>0.1</c:v>
                </c:pt>
              </c:numCache>
            </c:numRef>
          </c:xVal>
          <c:yVal>
            <c:numRef>
              <c:f>結果!$R$27:$U$27</c:f>
              <c:numCache>
                <c:formatCode>General</c:formatCode>
                <c:ptCount val="4"/>
                <c:pt idx="0">
                  <c:v>0</c:v>
                </c:pt>
                <c:pt idx="1">
                  <c:v>0</c:v>
                </c:pt>
                <c:pt idx="2">
                  <c:v>0</c:v>
                </c:pt>
                <c:pt idx="3" formatCode="#,##0_);[Red]\(#,##0\)">
                  <c:v>0</c:v>
                </c:pt>
              </c:numCache>
            </c:numRef>
          </c:yVal>
          <c:smooth val="0"/>
          <c:extLst xmlns:c16r2="http://schemas.microsoft.com/office/drawing/2015/06/chart">
            <c:ext xmlns:c16="http://schemas.microsoft.com/office/drawing/2014/chart" uri="{C3380CC4-5D6E-409C-BE32-E72D297353CC}">
              <c16:uniqueId val="{00000009-0825-42C2-81AA-BAB6B8C14CEB}"/>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xmlns:c16r2="http://schemas.microsoft.com/office/drawing/2015/06/chart">
              <c:ext xmlns:c16="http://schemas.microsoft.com/office/drawing/2014/chart" uri="{C3380CC4-5D6E-409C-BE32-E72D297353CC}">
                <c16:uniqueId val="{0000000A-0825-42C2-81AA-BAB6B8C14CEB}"/>
              </c:ext>
            </c:extLst>
          </c:dPt>
          <c:dPt>
            <c:idx val="3"/>
            <c:marker>
              <c:symbol val="circle"/>
              <c:size val="6"/>
              <c:spPr>
                <a:solidFill>
                  <a:srgbClr val="008000"/>
                </a:solidFill>
                <a:ln>
                  <a:solidFill>
                    <a:srgbClr val="000000"/>
                  </a:solidFill>
                  <a:prstDash val="solid"/>
                </a:ln>
              </c:spPr>
            </c:marker>
            <c:bubble3D val="0"/>
            <c:extLst xmlns:c16r2="http://schemas.microsoft.com/office/drawing/2015/06/chart">
              <c:ext xmlns:c16="http://schemas.microsoft.com/office/drawing/2014/chart" uri="{C3380CC4-5D6E-409C-BE32-E72D297353CC}">
                <c16:uniqueId val="{0000000B-0825-42C2-81AA-BAB6B8C14CEB}"/>
              </c:ext>
            </c:extLst>
          </c:dPt>
          <c:xVal>
            <c:numRef>
              <c:f>結果!$R$26:$U$26</c:f>
              <c:numCache>
                <c:formatCode>General</c:formatCode>
                <c:ptCount val="4"/>
                <c:pt idx="0">
                  <c:v>0</c:v>
                </c:pt>
                <c:pt idx="1">
                  <c:v>0</c:v>
                </c:pt>
                <c:pt idx="2" formatCode="#,##0_);[Red]\(#,##0\)">
                  <c:v>0</c:v>
                </c:pt>
                <c:pt idx="3">
                  <c:v>0.1</c:v>
                </c:pt>
              </c:numCache>
            </c:numRef>
          </c:xVal>
          <c:yVal>
            <c:numRef>
              <c:f>結果!$R$27:$U$27</c:f>
              <c:numCache>
                <c:formatCode>General</c:formatCode>
                <c:ptCount val="4"/>
                <c:pt idx="0">
                  <c:v>0</c:v>
                </c:pt>
                <c:pt idx="1">
                  <c:v>0</c:v>
                </c:pt>
                <c:pt idx="2">
                  <c:v>0</c:v>
                </c:pt>
                <c:pt idx="3" formatCode="#,##0_);[Red]\(#,##0\)">
                  <c:v>0</c:v>
                </c:pt>
              </c:numCache>
            </c:numRef>
          </c:yVal>
          <c:smooth val="0"/>
          <c:extLst xmlns:c16r2="http://schemas.microsoft.com/office/drawing/2015/06/chart">
            <c:ext xmlns:c16="http://schemas.microsoft.com/office/drawing/2014/chart" uri="{C3380CC4-5D6E-409C-BE32-E72D297353CC}">
              <c16:uniqueId val="{0000000C-0825-42C2-81AA-BAB6B8C14CEB}"/>
            </c:ext>
          </c:extLst>
        </c:ser>
        <c:ser>
          <c:idx val="5"/>
          <c:order val="2"/>
          <c:tx>
            <c:strRef>
              <c:f>結果!$S$12</c:f>
              <c:strCache>
                <c:ptCount val="1"/>
                <c:pt idx="0">
                  <c:v>#DIV/0!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xmlns:c16r2="http://schemas.microsoft.com/office/drawing/2015/06/chart">
              <c:ext xmlns:c16="http://schemas.microsoft.com/office/drawing/2014/chart" uri="{C3380CC4-5D6E-409C-BE32-E72D297353CC}">
                <c16:uniqueId val="{0000000D-0825-42C2-81AA-BAB6B8C14CEB}"/>
              </c:ext>
            </c:extLst>
          </c:dPt>
          <c:dPt>
            <c:idx val="1"/>
            <c:marker>
              <c:symbol val="triangle"/>
              <c:size val="20"/>
              <c:spPr>
                <a:solidFill>
                  <a:srgbClr val="339966"/>
                </a:solidFill>
                <a:ln>
                  <a:solidFill>
                    <a:srgbClr val="000000"/>
                  </a:solidFill>
                  <a:prstDash val="solid"/>
                </a:ln>
              </c:spPr>
            </c:marker>
            <c:bubble3D val="0"/>
            <c:spPr>
              <a:ln w="19050">
                <a:noFill/>
              </a:ln>
            </c:spPr>
            <c:extLst xmlns:c16r2="http://schemas.microsoft.com/office/drawing/2015/06/chart">
              <c:ext xmlns:c16="http://schemas.microsoft.com/office/drawing/2014/chart" uri="{C3380CC4-5D6E-409C-BE32-E72D297353CC}">
                <c16:uniqueId val="{0000000F-0825-42C2-81AA-BAB6B8C14CEB}"/>
              </c:ext>
            </c:extLst>
          </c:dPt>
          <c:dPt>
            <c:idx val="2"/>
            <c:bubble3D val="0"/>
            <c:spPr>
              <a:ln w="38100">
                <a:solidFill>
                  <a:srgbClr val="008000"/>
                </a:solidFill>
                <a:prstDash val="solid"/>
              </a:ln>
            </c:spPr>
            <c:extLst xmlns:c16r2="http://schemas.microsoft.com/office/drawing/2015/06/chart">
              <c:ext xmlns:c16="http://schemas.microsoft.com/office/drawing/2014/chart" uri="{C3380CC4-5D6E-409C-BE32-E72D297353CC}">
                <c16:uniqueId val="{00000011-0825-42C2-81AA-BAB6B8C14CEB}"/>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xmlns:c16r2="http://schemas.microsoft.com/office/drawing/2015/06/chart">
                <c:ext xmlns:c16="http://schemas.microsoft.com/office/drawing/2014/chart" uri="{C3380CC4-5D6E-409C-BE32-E72D297353CC}">
                  <c16:uniqueId val="{0000000F-0825-42C2-81AA-BAB6B8C14CEB}"/>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結果!$S$24:$U$24</c:f>
              <c:numCache>
                <c:formatCode>#,##0_);[Red]\(#,##0\)</c:formatCode>
                <c:ptCount val="3"/>
                <c:pt idx="1">
                  <c:v>0</c:v>
                </c:pt>
                <c:pt idx="2" formatCode="General">
                  <c:v>0</c:v>
                </c:pt>
              </c:numCache>
            </c:numRef>
          </c:xVal>
          <c:yVal>
            <c:numRef>
              <c:f>結果!$S$25:$U$25</c:f>
              <c:numCache>
                <c:formatCode>#,##0_);[Red]\(#,##0\)</c:formatCode>
                <c:ptCount val="3"/>
                <c:pt idx="1">
                  <c:v>0</c:v>
                </c:pt>
                <c:pt idx="2" formatCode="General">
                  <c:v>0</c:v>
                </c:pt>
              </c:numCache>
            </c:numRef>
          </c:yVal>
          <c:smooth val="0"/>
          <c:extLst xmlns:c16r2="http://schemas.microsoft.com/office/drawing/2015/06/chart">
            <c:ext xmlns:c16="http://schemas.microsoft.com/office/drawing/2014/chart" uri="{C3380CC4-5D6E-409C-BE32-E72D297353CC}">
              <c16:uniqueId val="{00000012-0825-42C2-81AA-BAB6B8C14CEB}"/>
            </c:ext>
          </c:extLst>
        </c:ser>
        <c:dLbls>
          <c:showLegendKey val="0"/>
          <c:showVal val="0"/>
          <c:showCatName val="0"/>
          <c:showSerName val="0"/>
          <c:showPercent val="0"/>
          <c:showBubbleSize val="0"/>
        </c:dLbls>
        <c:axId val="160858848"/>
        <c:axId val="160859240"/>
      </c:scatterChart>
      <c:catAx>
        <c:axId val="160860808"/>
        <c:scaling>
          <c:orientation val="minMax"/>
        </c:scaling>
        <c:delete val="0"/>
        <c:axPos val="b"/>
        <c:numFmt formatCode="#,##0_);[Red]\(#,##0\)" sourceLinked="1"/>
        <c:majorTickMark val="none"/>
        <c:minorTickMark val="none"/>
        <c:tickLblPos val="none"/>
        <c:spPr>
          <a:ln w="3175">
            <a:solidFill>
              <a:srgbClr val="000000"/>
            </a:solidFill>
            <a:prstDash val="solid"/>
          </a:ln>
        </c:spPr>
        <c:crossAx val="160864728"/>
        <c:crosses val="autoZero"/>
        <c:auto val="0"/>
        <c:lblAlgn val="ctr"/>
        <c:lblOffset val="100"/>
        <c:tickLblSkip val="50"/>
        <c:tickMarkSkip val="50"/>
        <c:noMultiLvlLbl val="0"/>
      </c:catAx>
      <c:valAx>
        <c:axId val="160864728"/>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0860808"/>
        <c:crosses val="autoZero"/>
        <c:crossBetween val="midCat"/>
        <c:majorUnit val="50"/>
      </c:valAx>
      <c:valAx>
        <c:axId val="160858848"/>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0859240"/>
        <c:crosses val="max"/>
        <c:crossBetween val="midCat"/>
        <c:majorUnit val="50"/>
      </c:valAx>
      <c:valAx>
        <c:axId val="160859240"/>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160858848"/>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結果!$S$39</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extLst xmlns:c16r2="http://schemas.microsoft.com/office/drawing/2015/06/chart">
              <c:ext xmlns:c16="http://schemas.microsoft.com/office/drawing/2014/chart" uri="{C3380CC4-5D6E-409C-BE32-E72D297353CC}">
                <c16:uniqueId val="{00000001-911C-4A05-8168-1C348F3FE161}"/>
              </c:ext>
            </c:extLst>
          </c:dPt>
          <c:val>
            <c:numRef>
              <c:f>結果!$S$40:$S$43</c:f>
              <c:numCache>
                <c:formatCode>#,##0_);[Red]\(#,##0\)</c:formatCode>
                <c:ptCount val="4"/>
                <c:pt idx="0">
                  <c:v>0</c:v>
                </c:pt>
                <c:pt idx="1">
                  <c:v>0</c:v>
                </c:pt>
              </c:numCache>
            </c:numRef>
          </c:val>
          <c:extLst xmlns:c16r2="http://schemas.microsoft.com/office/drawing/2015/06/chart">
            <c:ext xmlns:c16="http://schemas.microsoft.com/office/drawing/2014/chart" uri="{C3380CC4-5D6E-409C-BE32-E72D297353CC}">
              <c16:uniqueId val="{00000002-911C-4A05-8168-1C348F3FE161}"/>
            </c:ext>
          </c:extLst>
        </c:ser>
        <c:ser>
          <c:idx val="1"/>
          <c:order val="1"/>
          <c:tx>
            <c:strRef>
              <c:f>結果!$T$39</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extLst xmlns:c16r2="http://schemas.microsoft.com/office/drawing/2015/06/chart">
              <c:ext xmlns:c16="http://schemas.microsoft.com/office/drawing/2014/chart" uri="{C3380CC4-5D6E-409C-BE32-E72D297353CC}">
                <c16:uniqueId val="{00000004-911C-4A05-8168-1C348F3FE161}"/>
              </c:ext>
            </c:extLst>
          </c:dPt>
          <c:val>
            <c:numRef>
              <c:f>結果!$T$40:$T$43</c:f>
              <c:numCache>
                <c:formatCode>#,##0_);[Red]\(#,##0\)</c:formatCode>
                <c:ptCount val="4"/>
                <c:pt idx="0">
                  <c:v>0</c:v>
                </c:pt>
                <c:pt idx="1">
                  <c:v>0</c:v>
                </c:pt>
              </c:numCache>
            </c:numRef>
          </c:val>
          <c:extLst xmlns:c16r2="http://schemas.microsoft.com/office/drawing/2015/06/chart">
            <c:ext xmlns:c16="http://schemas.microsoft.com/office/drawing/2014/chart" uri="{C3380CC4-5D6E-409C-BE32-E72D297353CC}">
              <c16:uniqueId val="{00000005-911C-4A05-8168-1C348F3FE161}"/>
            </c:ext>
          </c:extLst>
        </c:ser>
        <c:ser>
          <c:idx val="2"/>
          <c:order val="2"/>
          <c:tx>
            <c:strRef>
              <c:f>結果!$U$39</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extLst xmlns:c16r2="http://schemas.microsoft.com/office/drawing/2015/06/chart">
              <c:ext xmlns:c16="http://schemas.microsoft.com/office/drawing/2014/chart" uri="{C3380CC4-5D6E-409C-BE32-E72D297353CC}">
                <c16:uniqueId val="{00000007-911C-4A05-8168-1C348F3FE161}"/>
              </c:ext>
            </c:extLst>
          </c:dPt>
          <c:val>
            <c:numRef>
              <c:f>結果!$U$40:$U$43</c:f>
              <c:numCache>
                <c:formatCode>#,##0_);[Red]\(#,##0\)</c:formatCode>
                <c:ptCount val="4"/>
                <c:pt idx="0">
                  <c:v>0</c:v>
                </c:pt>
                <c:pt idx="1">
                  <c:v>0</c:v>
                </c:pt>
              </c:numCache>
            </c:numRef>
          </c:val>
          <c:extLst xmlns:c16r2="http://schemas.microsoft.com/office/drawing/2015/06/chart">
            <c:ext xmlns:c16="http://schemas.microsoft.com/office/drawing/2014/chart" uri="{C3380CC4-5D6E-409C-BE32-E72D297353CC}">
              <c16:uniqueId val="{00000008-911C-4A05-8168-1C348F3FE161}"/>
            </c:ext>
          </c:extLst>
        </c:ser>
        <c:ser>
          <c:idx val="3"/>
          <c:order val="3"/>
          <c:tx>
            <c:strRef>
              <c:f>結果!$V$39</c:f>
              <c:strCache>
                <c:ptCount val="1"/>
                <c:pt idx="0">
                  <c:v>オンサイト</c:v>
                </c:pt>
              </c:strCache>
            </c:strRef>
          </c:tx>
          <c:spPr>
            <a:solidFill>
              <a:srgbClr val="C0C0C0"/>
            </a:solidFill>
            <a:ln w="12700">
              <a:solidFill>
                <a:srgbClr val="000000"/>
              </a:solidFill>
              <a:prstDash val="solid"/>
            </a:ln>
          </c:spPr>
          <c:invertIfNegative val="0"/>
          <c:val>
            <c:numRef>
              <c:f>結果!$V$40:$V$43</c:f>
              <c:numCache>
                <c:formatCode>General</c:formatCode>
                <c:ptCount val="4"/>
                <c:pt idx="2" formatCode="#,##0_);[Red]\(#,##0\)">
                  <c:v>0</c:v>
                </c:pt>
              </c:numCache>
            </c:numRef>
          </c:val>
          <c:extLst xmlns:c16r2="http://schemas.microsoft.com/office/drawing/2015/06/chart">
            <c:ext xmlns:c16="http://schemas.microsoft.com/office/drawing/2014/chart" uri="{C3380CC4-5D6E-409C-BE32-E72D297353CC}">
              <c16:uniqueId val="{00000009-911C-4A05-8168-1C348F3FE161}"/>
            </c:ext>
          </c:extLst>
        </c:ser>
        <c:ser>
          <c:idx val="4"/>
          <c:order val="4"/>
          <c:tx>
            <c:strRef>
              <c:f>結果!$W$39</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結果!$W$40:$W$43</c:f>
              <c:numCache>
                <c:formatCode>General</c:formatCode>
                <c:ptCount val="4"/>
                <c:pt idx="3" formatCode="#,##0_);[Red]\(#,##0\)">
                  <c:v>0</c:v>
                </c:pt>
              </c:numCache>
            </c:numRef>
          </c:val>
          <c:extLst xmlns:c16r2="http://schemas.microsoft.com/office/drawing/2015/06/chart">
            <c:ext xmlns:c16="http://schemas.microsoft.com/office/drawing/2014/chart" uri="{C3380CC4-5D6E-409C-BE32-E72D297353CC}">
              <c16:uniqueId val="{0000000A-911C-4A05-8168-1C348F3FE161}"/>
            </c:ext>
          </c:extLst>
        </c:ser>
        <c:dLbls>
          <c:showLegendKey val="0"/>
          <c:showVal val="0"/>
          <c:showCatName val="0"/>
          <c:showSerName val="0"/>
          <c:showPercent val="0"/>
          <c:showBubbleSize val="0"/>
        </c:dLbls>
        <c:gapWidth val="50"/>
        <c:overlap val="100"/>
        <c:axId val="160862376"/>
        <c:axId val="160865512"/>
      </c:barChart>
      <c:catAx>
        <c:axId val="160862376"/>
        <c:scaling>
          <c:orientation val="maxMin"/>
        </c:scaling>
        <c:delete val="1"/>
        <c:axPos val="l"/>
        <c:majorTickMark val="out"/>
        <c:minorTickMark val="none"/>
        <c:tickLblPos val="nextTo"/>
        <c:crossAx val="160865512"/>
        <c:crosses val="autoZero"/>
        <c:auto val="1"/>
        <c:lblAlgn val="ctr"/>
        <c:lblOffset val="100"/>
        <c:noMultiLvlLbl val="0"/>
      </c:catAx>
      <c:valAx>
        <c:axId val="160865512"/>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0862376"/>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結果!$W$8:$W$13</c:f>
              <c:numCache>
                <c:formatCode>General</c:formatCode>
                <c:ptCount val="6"/>
                <c:pt idx="0">
                  <c:v>5</c:v>
                </c:pt>
                <c:pt idx="1">
                  <c:v>5</c:v>
                </c:pt>
                <c:pt idx="2">
                  <c:v>5</c:v>
                </c:pt>
                <c:pt idx="3">
                  <c:v>5</c:v>
                </c:pt>
                <c:pt idx="4">
                  <c:v>5</c:v>
                </c:pt>
                <c:pt idx="5">
                  <c:v>5</c:v>
                </c:pt>
              </c:numCache>
            </c:numRef>
          </c:val>
          <c:extLst xmlns:c16r2="http://schemas.microsoft.com/office/drawing/2015/06/chart">
            <c:ext xmlns:c16="http://schemas.microsoft.com/office/drawing/2014/chart" uri="{C3380CC4-5D6E-409C-BE32-E72D297353CC}">
              <c16:uniqueId val="{00000000-F96D-4582-A595-146BB6DDD0BE}"/>
            </c:ext>
          </c:extLst>
        </c:ser>
        <c:ser>
          <c:idx val="1"/>
          <c:order val="1"/>
          <c:spPr>
            <a:no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結果!$X$8:$X$13</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1-F96D-4582-A595-146BB6DDD0BE}"/>
            </c:ext>
          </c:extLst>
        </c:ser>
        <c:ser>
          <c:idx val="2"/>
          <c:order val="2"/>
          <c:spPr>
            <a:no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結果!$Y$8:$Y$13</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2-F96D-4582-A595-146BB6DDD0BE}"/>
            </c:ext>
          </c:extLst>
        </c:ser>
        <c:ser>
          <c:idx val="3"/>
          <c:order val="3"/>
          <c:spPr>
            <a:pattFill prst="pct50">
              <a:fgClr>
                <a:srgbClr val="CCCCFF"/>
              </a:fgClr>
              <a:bgClr>
                <a:srgbClr val="FFFFFF"/>
              </a:bgClr>
            </a:patt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結果!$Z$8:$Z$13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F96D-4582-A595-146BB6DDD0BE}"/>
            </c:ext>
          </c:extLst>
        </c:ser>
        <c:ser>
          <c:idx val="4"/>
          <c:order val="4"/>
          <c:spPr>
            <a:noFill/>
            <a:ln w="12700">
              <a:solidFill>
                <a:srgbClr val="FF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結果!$AA$8:$AA$13</c:f>
              <c:numCache>
                <c:formatCode>General</c:formatCode>
                <c:ptCount val="6"/>
                <c:pt idx="0">
                  <c:v>3</c:v>
                </c:pt>
                <c:pt idx="1">
                  <c:v>3</c:v>
                </c:pt>
                <c:pt idx="2">
                  <c:v>3</c:v>
                </c:pt>
                <c:pt idx="3">
                  <c:v>3</c:v>
                </c:pt>
                <c:pt idx="4">
                  <c:v>3</c:v>
                </c:pt>
                <c:pt idx="5">
                  <c:v>3</c:v>
                </c:pt>
              </c:numCache>
            </c:numRef>
          </c:val>
          <c:extLst xmlns:c16r2="http://schemas.microsoft.com/office/drawing/2015/06/chart">
            <c:ext xmlns:c16="http://schemas.microsoft.com/office/drawing/2014/chart" uri="{C3380CC4-5D6E-409C-BE32-E72D297353CC}">
              <c16:uniqueId val="{00000004-F96D-4582-A595-146BB6DDD0BE}"/>
            </c:ext>
          </c:extLst>
        </c:ser>
        <c:dLbls>
          <c:showLegendKey val="0"/>
          <c:showVal val="0"/>
          <c:showCatName val="0"/>
          <c:showSerName val="0"/>
          <c:showPercent val="0"/>
          <c:showBubbleSize val="0"/>
        </c:dLbls>
        <c:axId val="160863944"/>
        <c:axId val="160864336"/>
      </c:radarChart>
      <c:catAx>
        <c:axId val="16086394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160864336"/>
        <c:crosses val="autoZero"/>
        <c:auto val="0"/>
        <c:lblAlgn val="ctr"/>
        <c:lblOffset val="100"/>
        <c:noMultiLvlLbl val="0"/>
      </c:catAx>
      <c:valAx>
        <c:axId val="160864336"/>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60863944"/>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結果!$R$49:$R$52</c:f>
              <c:strCache>
                <c:ptCount val="4"/>
                <c:pt idx="0">
                  <c:v>音環境</c:v>
                </c:pt>
                <c:pt idx="1">
                  <c:v>温熱環境</c:v>
                </c:pt>
                <c:pt idx="2">
                  <c:v>光・視環境</c:v>
                </c:pt>
                <c:pt idx="3">
                  <c:v>空気質環境</c:v>
                </c:pt>
              </c:strCache>
            </c:strRef>
          </c:cat>
          <c:val>
            <c:numRef>
              <c:f>結果!$S$49:$S$52</c:f>
              <c:numCache>
                <c:formatCode>0.0;_Ā</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4-E904-46F5-9D18-121A312BA98B}"/>
            </c:ext>
          </c:extLst>
        </c:ser>
        <c:dLbls>
          <c:showLegendKey val="0"/>
          <c:showVal val="1"/>
          <c:showCatName val="0"/>
          <c:showSerName val="0"/>
          <c:showPercent val="0"/>
          <c:showBubbleSize val="0"/>
        </c:dLbls>
        <c:gapWidth val="40"/>
        <c:axId val="160859632"/>
        <c:axId val="160865904"/>
      </c:barChart>
      <c:catAx>
        <c:axId val="160859632"/>
        <c:scaling>
          <c:orientation val="minMax"/>
        </c:scaling>
        <c:delete val="0"/>
        <c:axPos val="b"/>
        <c:numFmt formatCode="General" sourceLinked="1"/>
        <c:majorTickMark val="none"/>
        <c:minorTickMark val="none"/>
        <c:tickLblPos val="none"/>
        <c:spPr>
          <a:ln w="3175">
            <a:solidFill>
              <a:srgbClr val="000000"/>
            </a:solidFill>
            <a:prstDash val="solid"/>
          </a:ln>
        </c:spPr>
        <c:crossAx val="160865904"/>
        <c:crossesAt val="0"/>
        <c:auto val="1"/>
        <c:lblAlgn val="ctr"/>
        <c:lblOffset val="100"/>
        <c:tickMarkSkip val="1"/>
        <c:noMultiLvlLbl val="0"/>
      </c:catAx>
      <c:valAx>
        <c:axId val="16086590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085963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結果!$U$49:$U$51</c:f>
              <c:strCache>
                <c:ptCount val="3"/>
                <c:pt idx="0">
                  <c:v>機能性</c:v>
                </c:pt>
                <c:pt idx="1">
                  <c:v>耐用性・信頼性</c:v>
                </c:pt>
                <c:pt idx="2">
                  <c:v>対応性･更新性</c:v>
                </c:pt>
              </c:strCache>
            </c:strRef>
          </c:cat>
          <c:val>
            <c:numRef>
              <c:f>結果!$V$49:$V$51</c:f>
              <c:numCache>
                <c:formatCode>0.0_ </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7D9E-4863-AEF3-44FF26E01606}"/>
            </c:ext>
          </c:extLst>
        </c:ser>
        <c:dLbls>
          <c:showLegendKey val="0"/>
          <c:showVal val="1"/>
          <c:showCatName val="0"/>
          <c:showSerName val="0"/>
          <c:showPercent val="0"/>
          <c:showBubbleSize val="0"/>
        </c:dLbls>
        <c:gapWidth val="70"/>
        <c:axId val="160860024"/>
        <c:axId val="160860416"/>
      </c:barChart>
      <c:catAx>
        <c:axId val="160860024"/>
        <c:scaling>
          <c:orientation val="minMax"/>
        </c:scaling>
        <c:delete val="0"/>
        <c:axPos val="b"/>
        <c:numFmt formatCode="General" sourceLinked="1"/>
        <c:majorTickMark val="none"/>
        <c:minorTickMark val="none"/>
        <c:tickLblPos val="none"/>
        <c:spPr>
          <a:ln w="3175">
            <a:solidFill>
              <a:srgbClr val="000000"/>
            </a:solidFill>
            <a:prstDash val="solid"/>
          </a:ln>
        </c:spPr>
        <c:crossAx val="160860416"/>
        <c:crossesAt val="0"/>
        <c:auto val="1"/>
        <c:lblAlgn val="ctr"/>
        <c:lblOffset val="100"/>
        <c:tickMarkSkip val="1"/>
        <c:noMultiLvlLbl val="0"/>
      </c:catAx>
      <c:valAx>
        <c:axId val="1608604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086002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結果!$X$49:$X$51</c:f>
              <c:strCache>
                <c:ptCount val="3"/>
                <c:pt idx="0">
                  <c:v>生物資源</c:v>
                </c:pt>
                <c:pt idx="1">
                  <c:v>まちなみ景観</c:v>
                </c:pt>
                <c:pt idx="2">
                  <c:v>地域性・文化</c:v>
                </c:pt>
              </c:strCache>
            </c:strRef>
          </c:cat>
          <c:val>
            <c:numRef>
              <c:f>結果!$Y$49:$Y$51</c:f>
              <c:numCache>
                <c:formatCode>0.0_ </c:formatCode>
                <c:ptCount val="3"/>
                <c:pt idx="0">
                  <c:v>3</c:v>
                </c:pt>
                <c:pt idx="1">
                  <c:v>3</c:v>
                </c:pt>
                <c:pt idx="2">
                  <c:v>0</c:v>
                </c:pt>
              </c:numCache>
            </c:numRef>
          </c:val>
          <c:extLst xmlns:c16r2="http://schemas.microsoft.com/office/drawing/2015/06/chart">
            <c:ext xmlns:c16="http://schemas.microsoft.com/office/drawing/2014/chart" uri="{C3380CC4-5D6E-409C-BE32-E72D297353CC}">
              <c16:uniqueId val="{00000003-9A45-4B08-BB82-965D3DB22F11}"/>
            </c:ext>
          </c:extLst>
        </c:ser>
        <c:dLbls>
          <c:showLegendKey val="0"/>
          <c:showVal val="1"/>
          <c:showCatName val="0"/>
          <c:showSerName val="0"/>
          <c:showPercent val="0"/>
          <c:showBubbleSize val="0"/>
        </c:dLbls>
        <c:gapWidth val="70"/>
        <c:axId val="451859872"/>
        <c:axId val="451865752"/>
      </c:barChart>
      <c:catAx>
        <c:axId val="451859872"/>
        <c:scaling>
          <c:orientation val="minMax"/>
        </c:scaling>
        <c:delete val="0"/>
        <c:axPos val="b"/>
        <c:numFmt formatCode="General" sourceLinked="1"/>
        <c:majorTickMark val="none"/>
        <c:minorTickMark val="none"/>
        <c:tickLblPos val="none"/>
        <c:spPr>
          <a:ln w="3175">
            <a:solidFill>
              <a:srgbClr val="000000"/>
            </a:solidFill>
            <a:prstDash val="solid"/>
          </a:ln>
        </c:spPr>
        <c:crossAx val="451865752"/>
        <c:crossesAt val="0"/>
        <c:auto val="1"/>
        <c:lblAlgn val="ctr"/>
        <c:lblOffset val="100"/>
        <c:tickMarkSkip val="1"/>
        <c:noMultiLvlLbl val="0"/>
      </c:catAx>
      <c:valAx>
        <c:axId val="45186575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185987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結果!$R$60:$R$63</c:f>
              <c:strCache>
                <c:ptCount val="4"/>
                <c:pt idx="0">
                  <c:v>熱負荷抑制</c:v>
                </c:pt>
                <c:pt idx="1">
                  <c:v>自然ｴﾈﾙｷﾞｰ</c:v>
                </c:pt>
                <c:pt idx="2">
                  <c:v>設備の効率的利用</c:v>
                </c:pt>
                <c:pt idx="3">
                  <c:v>運用ﾏﾈｼﾞﾒﾝﾄ</c:v>
                </c:pt>
              </c:strCache>
            </c:strRef>
          </c:cat>
          <c:val>
            <c:numRef>
              <c:f>結果!$S$60:$S$63</c:f>
              <c:numCache>
                <c:formatCode>#,##0.0;[Red]\-#,##0.0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4-6467-4EFB-A92B-DDE8A92FA52D}"/>
            </c:ext>
          </c:extLst>
        </c:ser>
        <c:dLbls>
          <c:showLegendKey val="0"/>
          <c:showVal val="1"/>
          <c:showCatName val="0"/>
          <c:showSerName val="0"/>
          <c:showPercent val="0"/>
          <c:showBubbleSize val="0"/>
        </c:dLbls>
        <c:gapWidth val="40"/>
        <c:axId val="451864968"/>
        <c:axId val="451861440"/>
      </c:barChart>
      <c:catAx>
        <c:axId val="451864968"/>
        <c:scaling>
          <c:orientation val="minMax"/>
        </c:scaling>
        <c:delete val="0"/>
        <c:axPos val="b"/>
        <c:numFmt formatCode="General" sourceLinked="1"/>
        <c:majorTickMark val="none"/>
        <c:minorTickMark val="none"/>
        <c:tickLblPos val="none"/>
        <c:spPr>
          <a:ln w="3175">
            <a:solidFill>
              <a:srgbClr val="000000"/>
            </a:solidFill>
            <a:prstDash val="solid"/>
          </a:ln>
        </c:spPr>
        <c:crossAx val="451861440"/>
        <c:crossesAt val="0"/>
        <c:auto val="1"/>
        <c:lblAlgn val="ctr"/>
        <c:lblOffset val="100"/>
        <c:tickMarkSkip val="1"/>
        <c:noMultiLvlLbl val="0"/>
      </c:catAx>
      <c:valAx>
        <c:axId val="45186144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18649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結果!$U$60:$U$62</c:f>
              <c:strCache>
                <c:ptCount val="3"/>
                <c:pt idx="0">
                  <c:v>水資源</c:v>
                </c:pt>
                <c:pt idx="1">
                  <c:v>非再生性材料の削減</c:v>
                </c:pt>
                <c:pt idx="2">
                  <c:v>汚染物質回避</c:v>
                </c:pt>
              </c:strCache>
            </c:strRef>
          </c:cat>
          <c:val>
            <c:numRef>
              <c:f>結果!$V$60:$V$62</c:f>
              <c:numCache>
                <c:formatCode>0.0_ </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5B5F-4026-8D85-88ADB354049C}"/>
            </c:ext>
          </c:extLst>
        </c:ser>
        <c:dLbls>
          <c:showLegendKey val="0"/>
          <c:showVal val="1"/>
          <c:showCatName val="0"/>
          <c:showSerName val="0"/>
          <c:showPercent val="0"/>
          <c:showBubbleSize val="0"/>
        </c:dLbls>
        <c:gapWidth val="70"/>
        <c:axId val="451863400"/>
        <c:axId val="451862616"/>
      </c:barChart>
      <c:catAx>
        <c:axId val="451863400"/>
        <c:scaling>
          <c:orientation val="minMax"/>
        </c:scaling>
        <c:delete val="0"/>
        <c:axPos val="b"/>
        <c:numFmt formatCode="General" sourceLinked="1"/>
        <c:majorTickMark val="none"/>
        <c:minorTickMark val="none"/>
        <c:tickLblPos val="none"/>
        <c:spPr>
          <a:ln w="3175">
            <a:solidFill>
              <a:srgbClr val="000000"/>
            </a:solidFill>
            <a:prstDash val="solid"/>
          </a:ln>
        </c:spPr>
        <c:crossAx val="451862616"/>
        <c:crossesAt val="0"/>
        <c:auto val="1"/>
        <c:lblAlgn val="ctr"/>
        <c:lblOffset val="100"/>
        <c:tickMarkSkip val="1"/>
        <c:noMultiLvlLbl val="0"/>
      </c:catAx>
      <c:valAx>
        <c:axId val="4518626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18634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結果_IS!$S$30</c:f>
              <c:strCache>
                <c:ptCount val="1"/>
                <c:pt idx="0">
                  <c:v>S</c:v>
                </c:pt>
              </c:strCache>
            </c:strRef>
          </c:tx>
          <c:spPr>
            <a:pattFill prst="pct70">
              <a:fgClr>
                <a:srgbClr val="339966"/>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結果_IS!$T$30:$Z$30</c:f>
              <c:numCache>
                <c:formatCode>General</c:formatCode>
                <c:ptCount val="7"/>
                <c:pt idx="0">
                  <c:v>100</c:v>
                </c:pt>
                <c:pt idx="1">
                  <c:v>100</c:v>
                </c:pt>
                <c:pt idx="2">
                  <c:v>100</c:v>
                </c:pt>
                <c:pt idx="3">
                  <c:v>100</c:v>
                </c:pt>
                <c:pt idx="4">
                  <c:v>100</c:v>
                </c:pt>
                <c:pt idx="5">
                  <c:v>100</c:v>
                </c:pt>
                <c:pt idx="6">
                  <c:v>100</c:v>
                </c:pt>
              </c:numCache>
            </c:numRef>
          </c:val>
          <c:extLst xmlns:c16r2="http://schemas.microsoft.com/office/drawing/2015/06/chart">
            <c:ext xmlns:c16="http://schemas.microsoft.com/office/drawing/2014/chart" uri="{C3380CC4-5D6E-409C-BE32-E72D297353CC}">
              <c16:uniqueId val="{00000000-DC11-4116-9165-2598789E340F}"/>
            </c:ext>
          </c:extLst>
        </c:ser>
        <c:ser>
          <c:idx val="3"/>
          <c:order val="4"/>
          <c:tx>
            <c:strRef>
              <c:f>結果_IS!$S$31</c:f>
              <c:strCache>
                <c:ptCount val="1"/>
                <c:pt idx="0">
                  <c:v>A</c:v>
                </c:pt>
              </c:strCache>
            </c:strRef>
          </c:tx>
          <c:spPr>
            <a:pattFill prst="pct90">
              <a:fgClr>
                <a:srgbClr val="CCFFCC"/>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結果_IS!$T$31:$Z$31</c:f>
              <c:numCache>
                <c:formatCode>General</c:formatCode>
                <c:ptCount val="7"/>
                <c:pt idx="0">
                  <c:v>50</c:v>
                </c:pt>
                <c:pt idx="1">
                  <c:v>50</c:v>
                </c:pt>
                <c:pt idx="2">
                  <c:v>100</c:v>
                </c:pt>
                <c:pt idx="3">
                  <c:v>100</c:v>
                </c:pt>
                <c:pt idx="4">
                  <c:v>100</c:v>
                </c:pt>
                <c:pt idx="5">
                  <c:v>100</c:v>
                </c:pt>
                <c:pt idx="6">
                  <c:v>100</c:v>
                </c:pt>
              </c:numCache>
            </c:numRef>
          </c:val>
          <c:extLst xmlns:c16r2="http://schemas.microsoft.com/office/drawing/2015/06/chart">
            <c:ext xmlns:c16="http://schemas.microsoft.com/office/drawing/2014/chart" uri="{C3380CC4-5D6E-409C-BE32-E72D297353CC}">
              <c16:uniqueId val="{00000001-DC11-4116-9165-2598789E340F}"/>
            </c:ext>
          </c:extLst>
        </c:ser>
        <c:ser>
          <c:idx val="2"/>
          <c:order val="5"/>
          <c:tx>
            <c:strRef>
              <c:f>結果_IS!$S$32</c:f>
              <c:strCache>
                <c:ptCount val="1"/>
                <c:pt idx="0">
                  <c:v>B+</c:v>
                </c:pt>
              </c:strCache>
            </c:strRef>
          </c:tx>
          <c:spPr>
            <a:solidFill>
              <a:srgbClr val="FFFFCC"/>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結果_IS!$T$32:$Z$32</c:f>
              <c:numCache>
                <c:formatCode>General</c:formatCode>
                <c:ptCount val="7"/>
                <c:pt idx="0">
                  <c:v>0</c:v>
                </c:pt>
                <c:pt idx="1">
                  <c:v>25</c:v>
                </c:pt>
                <c:pt idx="2">
                  <c:v>50</c:v>
                </c:pt>
                <c:pt idx="3">
                  <c:v>75</c:v>
                </c:pt>
                <c:pt idx="4">
                  <c:v>100</c:v>
                </c:pt>
                <c:pt idx="5">
                  <c:v>100</c:v>
                </c:pt>
                <c:pt idx="6">
                  <c:v>100</c:v>
                </c:pt>
              </c:numCache>
            </c:numRef>
          </c:val>
          <c:extLst xmlns:c16r2="http://schemas.microsoft.com/office/drawing/2015/06/chart">
            <c:ext xmlns:c16="http://schemas.microsoft.com/office/drawing/2014/chart" uri="{C3380CC4-5D6E-409C-BE32-E72D297353CC}">
              <c16:uniqueId val="{00000002-DC11-4116-9165-2598789E340F}"/>
            </c:ext>
          </c:extLst>
        </c:ser>
        <c:ser>
          <c:idx val="1"/>
          <c:order val="6"/>
          <c:tx>
            <c:strRef>
              <c:f>結果_IS!$S$34</c:f>
              <c:strCache>
                <c:ptCount val="1"/>
                <c:pt idx="0">
                  <c:v>B-</c:v>
                </c:pt>
              </c:strCache>
            </c:strRef>
          </c:tx>
          <c:spPr>
            <a:solidFill>
              <a:srgbClr val="FFFFFF"/>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xmlns:c16r2="http://schemas.microsoft.com/office/drawing/2015/06/chart">
            <c:ext xmlns:c16="http://schemas.microsoft.com/office/drawing/2014/chart" uri="{C3380CC4-5D6E-409C-BE32-E72D297353CC}">
              <c16:uniqueId val="{00000003-DC11-4116-9165-2598789E340F}"/>
            </c:ext>
          </c:extLst>
        </c:ser>
        <c:ser>
          <c:idx val="0"/>
          <c:order val="7"/>
          <c:tx>
            <c:strRef>
              <c:f>結果_IS!$S$33</c:f>
              <c:strCache>
                <c:ptCount val="1"/>
                <c:pt idx="0">
                  <c:v>B</c:v>
                </c:pt>
              </c:strCache>
            </c:strRef>
          </c:tx>
          <c:spPr>
            <a:noFill/>
            <a:ln w="12700">
              <a:solidFill>
                <a:srgbClr val="000000"/>
              </a:solidFill>
              <a:prstDash val="solid"/>
            </a:ln>
          </c:spPr>
          <c:cat>
            <c:numRef>
              <c:f>結果_IS!$T$24:$U$24</c:f>
              <c:numCache>
                <c:formatCode>General</c:formatCode>
                <c:ptCount val="2"/>
                <c:pt idx="0" formatCode="#,##0_);[Red]\(#,##0\)">
                  <c:v>0</c:v>
                </c:pt>
                <c:pt idx="1">
                  <c:v>0</c:v>
                </c:pt>
              </c:numCache>
            </c:numRef>
          </c:cat>
          <c:val>
            <c:numRef>
              <c:f>結果_IS!$T$33:$Z$33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xmlns:c16r2="http://schemas.microsoft.com/office/drawing/2015/06/chart">
            <c:ext xmlns:c16="http://schemas.microsoft.com/office/drawing/2014/chart" uri="{C3380CC4-5D6E-409C-BE32-E72D297353CC}">
              <c16:uniqueId val="{00000004-DC11-4116-9165-2598789E340F}"/>
            </c:ext>
          </c:extLst>
        </c:ser>
        <c:dLbls>
          <c:showLegendKey val="0"/>
          <c:showVal val="0"/>
          <c:showCatName val="0"/>
          <c:showSerName val="0"/>
          <c:showPercent val="0"/>
          <c:showBubbleSize val="0"/>
        </c:dLbls>
        <c:axId val="161827976"/>
        <c:axId val="161827584"/>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xmlns:c16r2="http://schemas.microsoft.com/office/drawing/2015/06/chart">
              <c:ext xmlns:c16="http://schemas.microsoft.com/office/drawing/2014/chart" uri="{C3380CC4-5D6E-409C-BE32-E72D297353CC}">
                <c16:uniqueId val="{00000006-DC11-4116-9165-2598789E340F}"/>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7-DC11-4116-9165-2598789E340F}"/>
                </c:ext>
                <c:ext xmlns:c15="http://schemas.microsoft.com/office/drawing/2012/chart" uri="{CE6537A1-D6FC-4f65-9D91-7224C49458BB}"/>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C11-4116-9165-2598789E340F}"/>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0</c:v>
                </c:pt>
                <c:pt idx="3" formatCode="#,##0_);[Red]\(#,##0\)">
                  <c:v>0</c:v>
                </c:pt>
              </c:numCache>
            </c:numRef>
          </c:yVal>
          <c:smooth val="0"/>
          <c:extLst xmlns:c16r2="http://schemas.microsoft.com/office/drawing/2015/06/chart">
            <c:ext xmlns:c16="http://schemas.microsoft.com/office/drawing/2014/chart" uri="{C3380CC4-5D6E-409C-BE32-E72D297353CC}">
              <c16:uniqueId val="{00000009-DC11-4116-9165-2598789E340F}"/>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xmlns:c16r2="http://schemas.microsoft.com/office/drawing/2015/06/chart">
              <c:ext xmlns:c16="http://schemas.microsoft.com/office/drawing/2014/chart" uri="{C3380CC4-5D6E-409C-BE32-E72D297353CC}">
                <c16:uniqueId val="{0000000A-DC11-4116-9165-2598789E340F}"/>
              </c:ext>
            </c:extLst>
          </c:dPt>
          <c:dPt>
            <c:idx val="3"/>
            <c:marker>
              <c:symbol val="circle"/>
              <c:size val="6"/>
              <c:spPr>
                <a:solidFill>
                  <a:srgbClr val="008000"/>
                </a:solidFill>
                <a:ln>
                  <a:solidFill>
                    <a:srgbClr val="000000"/>
                  </a:solidFill>
                  <a:prstDash val="solid"/>
                </a:ln>
              </c:spPr>
            </c:marker>
            <c:bubble3D val="0"/>
            <c:extLst xmlns:c16r2="http://schemas.microsoft.com/office/drawing/2015/06/chart">
              <c:ext xmlns:c16="http://schemas.microsoft.com/office/drawing/2014/chart" uri="{C3380CC4-5D6E-409C-BE32-E72D297353CC}">
                <c16:uniqueId val="{0000000B-DC11-4116-9165-2598789E340F}"/>
              </c:ext>
            </c:extLst>
          </c:dPt>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0</c:v>
                </c:pt>
                <c:pt idx="3" formatCode="#,##0_);[Red]\(#,##0\)">
                  <c:v>0</c:v>
                </c:pt>
              </c:numCache>
            </c:numRef>
          </c:yVal>
          <c:smooth val="0"/>
          <c:extLst xmlns:c16r2="http://schemas.microsoft.com/office/drawing/2015/06/chart">
            <c:ext xmlns:c16="http://schemas.microsoft.com/office/drawing/2014/chart" uri="{C3380CC4-5D6E-409C-BE32-E72D297353CC}">
              <c16:uniqueId val="{0000000C-DC11-4116-9165-2598789E340F}"/>
            </c:ext>
          </c:extLst>
        </c:ser>
        <c:ser>
          <c:idx val="5"/>
          <c:order val="2"/>
          <c:tx>
            <c:strRef>
              <c:f>結果_IS!$S$12</c:f>
              <c:strCache>
                <c:ptCount val="1"/>
                <c:pt idx="0">
                  <c:v>#DIV/0!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xmlns:c16r2="http://schemas.microsoft.com/office/drawing/2015/06/chart">
              <c:ext xmlns:c16="http://schemas.microsoft.com/office/drawing/2014/chart" uri="{C3380CC4-5D6E-409C-BE32-E72D297353CC}">
                <c16:uniqueId val="{0000000D-DC11-4116-9165-2598789E340F}"/>
              </c:ext>
            </c:extLst>
          </c:dPt>
          <c:dPt>
            <c:idx val="1"/>
            <c:marker>
              <c:symbol val="triangle"/>
              <c:size val="20"/>
              <c:spPr>
                <a:solidFill>
                  <a:srgbClr val="339966"/>
                </a:solidFill>
                <a:ln>
                  <a:solidFill>
                    <a:srgbClr val="000000"/>
                  </a:solidFill>
                  <a:prstDash val="solid"/>
                </a:ln>
              </c:spPr>
            </c:marker>
            <c:bubble3D val="0"/>
            <c:spPr>
              <a:ln w="19050">
                <a:noFill/>
              </a:ln>
            </c:spPr>
            <c:extLst xmlns:c16r2="http://schemas.microsoft.com/office/drawing/2015/06/chart">
              <c:ext xmlns:c16="http://schemas.microsoft.com/office/drawing/2014/chart" uri="{C3380CC4-5D6E-409C-BE32-E72D297353CC}">
                <c16:uniqueId val="{0000000F-DC11-4116-9165-2598789E340F}"/>
              </c:ext>
            </c:extLst>
          </c:dPt>
          <c:dPt>
            <c:idx val="2"/>
            <c:bubble3D val="0"/>
            <c:spPr>
              <a:ln w="38100">
                <a:solidFill>
                  <a:srgbClr val="008000"/>
                </a:solidFill>
                <a:prstDash val="solid"/>
              </a:ln>
            </c:spPr>
            <c:extLst xmlns:c16r2="http://schemas.microsoft.com/office/drawing/2015/06/chart">
              <c:ext xmlns:c16="http://schemas.microsoft.com/office/drawing/2014/chart" uri="{C3380CC4-5D6E-409C-BE32-E72D297353CC}">
                <c16:uniqueId val="{00000011-DC11-4116-9165-2598789E340F}"/>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xmlns:c16r2="http://schemas.microsoft.com/office/drawing/2015/06/chart">
                <c:ext xmlns:c16="http://schemas.microsoft.com/office/drawing/2014/chart" uri="{C3380CC4-5D6E-409C-BE32-E72D297353CC}">
                  <c16:uniqueId val="{0000000F-DC11-4116-9165-2598789E340F}"/>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結果_IS!$S$24:$U$24</c:f>
              <c:numCache>
                <c:formatCode>#,##0_);[Red]\(#,##0\)</c:formatCode>
                <c:ptCount val="3"/>
                <c:pt idx="1">
                  <c:v>0</c:v>
                </c:pt>
                <c:pt idx="2" formatCode="General">
                  <c:v>0</c:v>
                </c:pt>
              </c:numCache>
            </c:numRef>
          </c:xVal>
          <c:yVal>
            <c:numRef>
              <c:f>結果_IS!$S$25:$U$25</c:f>
              <c:numCache>
                <c:formatCode>#,##0_);[Red]\(#,##0\)</c:formatCode>
                <c:ptCount val="3"/>
                <c:pt idx="1">
                  <c:v>0</c:v>
                </c:pt>
                <c:pt idx="2" formatCode="General">
                  <c:v>0</c:v>
                </c:pt>
              </c:numCache>
            </c:numRef>
          </c:yVal>
          <c:smooth val="0"/>
          <c:extLst xmlns:c16r2="http://schemas.microsoft.com/office/drawing/2015/06/chart">
            <c:ext xmlns:c16="http://schemas.microsoft.com/office/drawing/2014/chart" uri="{C3380CC4-5D6E-409C-BE32-E72D297353CC}">
              <c16:uniqueId val="{00000012-DC11-4116-9165-2598789E340F}"/>
            </c:ext>
          </c:extLst>
        </c:ser>
        <c:dLbls>
          <c:showLegendKey val="0"/>
          <c:showVal val="0"/>
          <c:showCatName val="0"/>
          <c:showSerName val="0"/>
          <c:showPercent val="0"/>
          <c:showBubbleSize val="0"/>
        </c:dLbls>
        <c:axId val="161824448"/>
        <c:axId val="161826016"/>
      </c:scatterChart>
      <c:catAx>
        <c:axId val="161827976"/>
        <c:scaling>
          <c:orientation val="minMax"/>
        </c:scaling>
        <c:delete val="0"/>
        <c:axPos val="b"/>
        <c:numFmt formatCode="#,##0_);[Red]\(#,##0\)" sourceLinked="1"/>
        <c:majorTickMark val="none"/>
        <c:minorTickMark val="none"/>
        <c:tickLblPos val="none"/>
        <c:spPr>
          <a:ln w="3175">
            <a:solidFill>
              <a:srgbClr val="000000"/>
            </a:solidFill>
            <a:prstDash val="solid"/>
          </a:ln>
        </c:spPr>
        <c:crossAx val="161827584"/>
        <c:crosses val="autoZero"/>
        <c:auto val="0"/>
        <c:lblAlgn val="ctr"/>
        <c:lblOffset val="100"/>
        <c:tickLblSkip val="50"/>
        <c:tickMarkSkip val="50"/>
        <c:noMultiLvlLbl val="0"/>
      </c:catAx>
      <c:valAx>
        <c:axId val="161827584"/>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1827976"/>
        <c:crosses val="autoZero"/>
        <c:crossBetween val="midCat"/>
        <c:majorUnit val="50"/>
      </c:valAx>
      <c:valAx>
        <c:axId val="161824448"/>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1826016"/>
        <c:crosses val="max"/>
        <c:crossBetween val="midCat"/>
        <c:majorUnit val="50"/>
      </c:valAx>
      <c:valAx>
        <c:axId val="161826016"/>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161824448"/>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結果!$X$60:$X$62</c:f>
              <c:strCache>
                <c:ptCount val="3"/>
                <c:pt idx="0">
                  <c:v>地球温暖化への配慮</c:v>
                </c:pt>
                <c:pt idx="1">
                  <c:v>地域環境への配慮</c:v>
                </c:pt>
                <c:pt idx="2">
                  <c:v>周辺環境への配慮</c:v>
                </c:pt>
              </c:strCache>
            </c:strRef>
          </c:cat>
          <c:val>
            <c:numRef>
              <c:f>結果!$Y$60:$Y$62</c:f>
              <c:numCache>
                <c:formatCode>0.0_ </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281C-49D3-A154-3379BD0E0CC1}"/>
            </c:ext>
          </c:extLst>
        </c:ser>
        <c:dLbls>
          <c:showLegendKey val="0"/>
          <c:showVal val="1"/>
          <c:showCatName val="0"/>
          <c:showSerName val="0"/>
          <c:showPercent val="0"/>
          <c:showBubbleSize val="0"/>
        </c:dLbls>
        <c:gapWidth val="70"/>
        <c:axId val="451863792"/>
        <c:axId val="451864184"/>
      </c:barChart>
      <c:catAx>
        <c:axId val="451863792"/>
        <c:scaling>
          <c:orientation val="minMax"/>
        </c:scaling>
        <c:delete val="0"/>
        <c:axPos val="b"/>
        <c:numFmt formatCode="General" sourceLinked="1"/>
        <c:majorTickMark val="none"/>
        <c:minorTickMark val="none"/>
        <c:tickLblPos val="none"/>
        <c:spPr>
          <a:ln w="3175">
            <a:solidFill>
              <a:srgbClr val="000000"/>
            </a:solidFill>
            <a:prstDash val="solid"/>
          </a:ln>
        </c:spPr>
        <c:crossAx val="451864184"/>
        <c:crossesAt val="0"/>
        <c:auto val="1"/>
        <c:lblAlgn val="ctr"/>
        <c:lblOffset val="100"/>
        <c:tickMarkSkip val="1"/>
        <c:noMultiLvlLbl val="0"/>
      </c:catAx>
      <c:valAx>
        <c:axId val="4518641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186379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結果_IS!$W$8:$W$13</c:f>
              <c:numCache>
                <c:formatCode>General</c:formatCode>
                <c:ptCount val="6"/>
                <c:pt idx="0">
                  <c:v>5</c:v>
                </c:pt>
                <c:pt idx="1">
                  <c:v>5</c:v>
                </c:pt>
                <c:pt idx="2">
                  <c:v>5</c:v>
                </c:pt>
                <c:pt idx="3">
                  <c:v>5</c:v>
                </c:pt>
                <c:pt idx="4">
                  <c:v>5</c:v>
                </c:pt>
                <c:pt idx="5">
                  <c:v>5</c:v>
                </c:pt>
              </c:numCache>
            </c:numRef>
          </c:val>
          <c:extLst xmlns:c16r2="http://schemas.microsoft.com/office/drawing/2015/06/chart">
            <c:ext xmlns:c16="http://schemas.microsoft.com/office/drawing/2014/chart" uri="{C3380CC4-5D6E-409C-BE32-E72D297353CC}">
              <c16:uniqueId val="{00000000-D8FC-4097-BB04-2EA6E049E303}"/>
            </c:ext>
          </c:extLst>
        </c:ser>
        <c:ser>
          <c:idx val="1"/>
          <c:order val="1"/>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結果_IS!$X$8:$X$13</c:f>
              <c:numCache>
                <c:formatCode>General</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1-D8FC-4097-BB04-2EA6E049E303}"/>
            </c:ext>
          </c:extLst>
        </c:ser>
        <c:ser>
          <c:idx val="2"/>
          <c:order val="2"/>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結果_IS!$Y$8:$Y$13</c:f>
              <c:numCache>
                <c:formatCode>General</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2-D8FC-4097-BB04-2EA6E049E303}"/>
            </c:ext>
          </c:extLst>
        </c:ser>
        <c:ser>
          <c:idx val="3"/>
          <c:order val="3"/>
          <c:spPr>
            <a:pattFill prst="pct50">
              <a:fgClr>
                <a:srgbClr val="CCCCFF"/>
              </a:fgClr>
              <a:bgClr>
                <a:srgbClr val="FFFFFF"/>
              </a:bgClr>
            </a:patt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結果_IS!$Z$8:$Z$13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D8FC-4097-BB04-2EA6E049E303}"/>
            </c:ext>
          </c:extLst>
        </c:ser>
        <c:ser>
          <c:idx val="4"/>
          <c:order val="4"/>
          <c:spPr>
            <a:noFill/>
            <a:ln w="12700">
              <a:solidFill>
                <a:srgbClr val="FF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結果_IS!$AA$8:$AA$13</c:f>
              <c:numCache>
                <c:formatCode>General</c:formatCode>
                <c:ptCount val="6"/>
                <c:pt idx="0">
                  <c:v>3</c:v>
                </c:pt>
                <c:pt idx="1">
                  <c:v>3</c:v>
                </c:pt>
                <c:pt idx="2">
                  <c:v>3</c:v>
                </c:pt>
                <c:pt idx="3">
                  <c:v>3</c:v>
                </c:pt>
                <c:pt idx="4">
                  <c:v>3</c:v>
                </c:pt>
                <c:pt idx="5">
                  <c:v>3</c:v>
                </c:pt>
              </c:numCache>
            </c:numRef>
          </c:val>
          <c:extLst xmlns:c16r2="http://schemas.microsoft.com/office/drawing/2015/06/chart">
            <c:ext xmlns:c16="http://schemas.microsoft.com/office/drawing/2014/chart" uri="{C3380CC4-5D6E-409C-BE32-E72D297353CC}">
              <c16:uniqueId val="{00000004-D8FC-4097-BB04-2EA6E049E303}"/>
            </c:ext>
          </c:extLst>
        </c:ser>
        <c:dLbls>
          <c:showLegendKey val="0"/>
          <c:showVal val="0"/>
          <c:showCatName val="0"/>
          <c:showSerName val="0"/>
          <c:showPercent val="0"/>
          <c:showBubbleSize val="0"/>
        </c:dLbls>
        <c:axId val="161827192"/>
        <c:axId val="161825232"/>
      </c:radarChart>
      <c:catAx>
        <c:axId val="1618271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161825232"/>
        <c:crosses val="autoZero"/>
        <c:auto val="0"/>
        <c:lblAlgn val="ctr"/>
        <c:lblOffset val="100"/>
        <c:noMultiLvlLbl val="0"/>
      </c:catAx>
      <c:valAx>
        <c:axId val="161825232"/>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61827192"/>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結果_IS!$R$49:$R$52</c:f>
              <c:strCache>
                <c:ptCount val="4"/>
                <c:pt idx="0">
                  <c:v>音環境</c:v>
                </c:pt>
                <c:pt idx="1">
                  <c:v>温熱環境</c:v>
                </c:pt>
                <c:pt idx="2">
                  <c:v>光・視環境</c:v>
                </c:pt>
                <c:pt idx="3">
                  <c:v>空気質環境</c:v>
                </c:pt>
              </c:strCache>
            </c:strRef>
          </c:cat>
          <c:val>
            <c:numRef>
              <c:f>結果_IS!$S$49:$S$52</c:f>
              <c:numCache>
                <c:formatCode>0.0;_Ā</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4-8FAD-4C08-BF4F-49BAA8527593}"/>
            </c:ext>
          </c:extLst>
        </c:ser>
        <c:dLbls>
          <c:showLegendKey val="0"/>
          <c:showVal val="1"/>
          <c:showCatName val="0"/>
          <c:showSerName val="0"/>
          <c:showPercent val="0"/>
          <c:showBubbleSize val="0"/>
        </c:dLbls>
        <c:gapWidth val="40"/>
        <c:axId val="163359600"/>
        <c:axId val="163361952"/>
      </c:barChart>
      <c:catAx>
        <c:axId val="163359600"/>
        <c:scaling>
          <c:orientation val="minMax"/>
        </c:scaling>
        <c:delete val="0"/>
        <c:axPos val="b"/>
        <c:numFmt formatCode="General" sourceLinked="1"/>
        <c:majorTickMark val="none"/>
        <c:minorTickMark val="none"/>
        <c:tickLblPos val="none"/>
        <c:spPr>
          <a:ln w="3175">
            <a:solidFill>
              <a:srgbClr val="000000"/>
            </a:solidFill>
            <a:prstDash val="solid"/>
          </a:ln>
        </c:spPr>
        <c:crossAx val="163361952"/>
        <c:crossesAt val="0"/>
        <c:auto val="1"/>
        <c:lblAlgn val="ctr"/>
        <c:lblOffset val="100"/>
        <c:tickMarkSkip val="1"/>
        <c:noMultiLvlLbl val="0"/>
      </c:catAx>
      <c:valAx>
        <c:axId val="16336195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33596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結果_IS!$U$49:$U$51</c:f>
              <c:strCache>
                <c:ptCount val="3"/>
                <c:pt idx="0">
                  <c:v>機能性</c:v>
                </c:pt>
                <c:pt idx="1">
                  <c:v>耐用性・信頼性</c:v>
                </c:pt>
                <c:pt idx="2">
                  <c:v>対応性･更新性</c:v>
                </c:pt>
              </c:strCache>
            </c:strRef>
          </c:cat>
          <c:val>
            <c:numRef>
              <c:f>結果_IS!$V$49:$V$51</c:f>
              <c:numCache>
                <c:formatCode>0.0_ </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ACB6-41AA-8798-768692968373}"/>
            </c:ext>
          </c:extLst>
        </c:ser>
        <c:dLbls>
          <c:showLegendKey val="0"/>
          <c:showVal val="1"/>
          <c:showCatName val="0"/>
          <c:showSerName val="0"/>
          <c:showPercent val="0"/>
          <c:showBubbleSize val="0"/>
        </c:dLbls>
        <c:gapWidth val="70"/>
        <c:axId val="163361168"/>
        <c:axId val="163360384"/>
      </c:barChart>
      <c:catAx>
        <c:axId val="163361168"/>
        <c:scaling>
          <c:orientation val="minMax"/>
        </c:scaling>
        <c:delete val="0"/>
        <c:axPos val="b"/>
        <c:numFmt formatCode="General" sourceLinked="1"/>
        <c:majorTickMark val="none"/>
        <c:minorTickMark val="none"/>
        <c:tickLblPos val="none"/>
        <c:spPr>
          <a:ln w="3175">
            <a:solidFill>
              <a:srgbClr val="000000"/>
            </a:solidFill>
            <a:prstDash val="solid"/>
          </a:ln>
        </c:spPr>
        <c:crossAx val="163360384"/>
        <c:crossesAt val="0"/>
        <c:auto val="1"/>
        <c:lblAlgn val="ctr"/>
        <c:lblOffset val="100"/>
        <c:tickMarkSkip val="1"/>
        <c:noMultiLvlLbl val="0"/>
      </c:catAx>
      <c:valAx>
        <c:axId val="1633603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33611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結果_IS!$X$49:$X$51</c15:sqref>
                  </c15:fullRef>
                </c:ext>
              </c:extLst>
              <c:f>結果_IS!$X$49</c:f>
              <c:strCache>
                <c:ptCount val="1"/>
                <c:pt idx="0">
                  <c:v>豊かな室外環境</c:v>
                </c:pt>
              </c:strCache>
            </c:strRef>
          </c:cat>
          <c:val>
            <c:numRef>
              <c:extLst>
                <c:ext xmlns:c15="http://schemas.microsoft.com/office/drawing/2012/chart" uri="{02D57815-91ED-43cb-92C2-25804820EDAC}">
                  <c15:fullRef>
                    <c15:sqref>結果_IS!$Y$49:$Y$51</c15:sqref>
                  </c15:fullRef>
                </c:ext>
              </c:extLst>
              <c:f>結果_IS!$Y$49</c:f>
              <c:numCache>
                <c:formatCode>0.0_ </c:formatCode>
                <c:ptCount val="1"/>
                <c:pt idx="0">
                  <c:v>0</c:v>
                </c:pt>
              </c:numCache>
            </c:numRef>
          </c:val>
          <c:extLst xmlns:c16r2="http://schemas.microsoft.com/office/drawing/2015/06/chart">
            <c:ext xmlns:c16="http://schemas.microsoft.com/office/drawing/2014/chart" uri="{C3380CC4-5D6E-409C-BE32-E72D297353CC}">
              <c16:uniqueId val="{00000001-7885-4F54-AB31-ECB3ADE1ADAC}"/>
            </c:ext>
            <c:ext xmlns:c15="http://schemas.microsoft.com/office/drawing/2012/chart" uri="{02D57815-91ED-43cb-92C2-25804820EDAC}">
              <c15:categoryFilterExceptions>
                <c15:categoryFilterException>
                  <c15:sqref>結果_IS!$Y$50</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
                  <c15:sqref>結果_IS!$Y$51</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s>
            </c:ext>
          </c:extLst>
        </c:ser>
        <c:dLbls>
          <c:showLegendKey val="0"/>
          <c:showVal val="1"/>
          <c:showCatName val="0"/>
          <c:showSerName val="0"/>
          <c:showPercent val="0"/>
          <c:showBubbleSize val="0"/>
        </c:dLbls>
        <c:gapWidth val="70"/>
        <c:axId val="163360776"/>
        <c:axId val="163361560"/>
      </c:barChart>
      <c:catAx>
        <c:axId val="163360776"/>
        <c:scaling>
          <c:orientation val="minMax"/>
        </c:scaling>
        <c:delete val="0"/>
        <c:axPos val="b"/>
        <c:numFmt formatCode="General" sourceLinked="1"/>
        <c:majorTickMark val="none"/>
        <c:minorTickMark val="none"/>
        <c:tickLblPos val="none"/>
        <c:spPr>
          <a:ln w="3175">
            <a:solidFill>
              <a:srgbClr val="000000"/>
            </a:solidFill>
            <a:prstDash val="solid"/>
          </a:ln>
        </c:spPr>
        <c:crossAx val="163361560"/>
        <c:crossesAt val="0"/>
        <c:auto val="1"/>
        <c:lblAlgn val="ctr"/>
        <c:lblOffset val="100"/>
        <c:tickMarkSkip val="1"/>
        <c:noMultiLvlLbl val="0"/>
      </c:catAx>
      <c:valAx>
        <c:axId val="1633615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336077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結果_IS!$R$60:$R$63</c:f>
              <c:strCache>
                <c:ptCount val="4"/>
                <c:pt idx="0">
                  <c:v>熱負荷抑制</c:v>
                </c:pt>
                <c:pt idx="1">
                  <c:v>自然ｴﾈﾙｷﾞｰ</c:v>
                </c:pt>
                <c:pt idx="2">
                  <c:v>設備の効率的利用</c:v>
                </c:pt>
                <c:pt idx="3">
                  <c:v>運用ﾏﾈｼﾞﾒﾝﾄ</c:v>
                </c:pt>
              </c:strCache>
            </c:strRef>
          </c:cat>
          <c:val>
            <c:numRef>
              <c:f>結果_IS!$S$60:$S$63</c:f>
              <c:numCache>
                <c:formatCode>#,##0.0;[Red]\-#,##0.0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4-644D-4954-AC9A-FACAAAC73972}"/>
            </c:ext>
          </c:extLst>
        </c:ser>
        <c:dLbls>
          <c:showLegendKey val="0"/>
          <c:showVal val="1"/>
          <c:showCatName val="0"/>
          <c:showSerName val="0"/>
          <c:showPercent val="0"/>
          <c:showBubbleSize val="0"/>
        </c:dLbls>
        <c:gapWidth val="40"/>
        <c:axId val="163362344"/>
        <c:axId val="163362736"/>
      </c:barChart>
      <c:catAx>
        <c:axId val="163362344"/>
        <c:scaling>
          <c:orientation val="minMax"/>
        </c:scaling>
        <c:delete val="0"/>
        <c:axPos val="b"/>
        <c:numFmt formatCode="General" sourceLinked="1"/>
        <c:majorTickMark val="none"/>
        <c:minorTickMark val="none"/>
        <c:tickLblPos val="none"/>
        <c:spPr>
          <a:ln w="3175">
            <a:solidFill>
              <a:srgbClr val="000000"/>
            </a:solidFill>
            <a:prstDash val="solid"/>
          </a:ln>
        </c:spPr>
        <c:crossAx val="163362736"/>
        <c:crossesAt val="0"/>
        <c:auto val="1"/>
        <c:lblAlgn val="ctr"/>
        <c:lblOffset val="100"/>
        <c:tickMarkSkip val="1"/>
        <c:noMultiLvlLbl val="0"/>
      </c:catAx>
      <c:valAx>
        <c:axId val="1633627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33623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結果_IS!$U$60:$U$62</c:f>
              <c:strCache>
                <c:ptCount val="3"/>
                <c:pt idx="0">
                  <c:v>水資源</c:v>
                </c:pt>
                <c:pt idx="1">
                  <c:v>非再生性材料の削減</c:v>
                </c:pt>
                <c:pt idx="2">
                  <c:v>汚染物質回避</c:v>
                </c:pt>
              </c:strCache>
            </c:strRef>
          </c:cat>
          <c:val>
            <c:numRef>
              <c:f>結果_IS!$V$60:$V$62</c:f>
              <c:numCache>
                <c:formatCode>0.0_ </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C7FC-4283-AB22-2CF99B13DC32}"/>
            </c:ext>
          </c:extLst>
        </c:ser>
        <c:dLbls>
          <c:showLegendKey val="0"/>
          <c:showVal val="1"/>
          <c:showCatName val="0"/>
          <c:showSerName val="0"/>
          <c:showPercent val="0"/>
          <c:showBubbleSize val="0"/>
        </c:dLbls>
        <c:gapWidth val="70"/>
        <c:axId val="163363520"/>
        <c:axId val="163358424"/>
      </c:barChart>
      <c:catAx>
        <c:axId val="163363520"/>
        <c:scaling>
          <c:orientation val="minMax"/>
        </c:scaling>
        <c:delete val="0"/>
        <c:axPos val="b"/>
        <c:numFmt formatCode="General" sourceLinked="1"/>
        <c:majorTickMark val="none"/>
        <c:minorTickMark val="none"/>
        <c:tickLblPos val="none"/>
        <c:spPr>
          <a:ln w="3175">
            <a:solidFill>
              <a:srgbClr val="000000"/>
            </a:solidFill>
            <a:prstDash val="solid"/>
          </a:ln>
        </c:spPr>
        <c:crossAx val="163358424"/>
        <c:crossesAt val="0"/>
        <c:auto val="1"/>
        <c:lblAlgn val="ctr"/>
        <c:lblOffset val="100"/>
        <c:tickMarkSkip val="1"/>
        <c:noMultiLvlLbl val="0"/>
      </c:catAx>
      <c:valAx>
        <c:axId val="1633584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33635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88973228346456679"/>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結果_IS!$X$60:$X$62</c15:sqref>
                  </c15:fullRef>
                </c:ext>
              </c:extLst>
              <c:f>結果_IS!$X$61</c:f>
              <c:strCache>
                <c:ptCount val="1"/>
                <c:pt idx="0">
                  <c:v>地域環境への配慮</c:v>
                </c:pt>
              </c:strCache>
            </c:strRef>
          </c:cat>
          <c:val>
            <c:numRef>
              <c:extLst>
                <c:ext xmlns:c15="http://schemas.microsoft.com/office/drawing/2012/chart" uri="{02D57815-91ED-43cb-92C2-25804820EDAC}">
                  <c15:fullRef>
                    <c15:sqref>結果_IS!$Y$60:$Y$62</c15:sqref>
                  </c15:fullRef>
                </c:ext>
              </c:extLst>
              <c:f>結果_IS!$Y$61</c:f>
              <c:numCache>
                <c:formatCode>0.0_ </c:formatCode>
                <c:ptCount val="1"/>
                <c:pt idx="0">
                  <c:v>0</c:v>
                </c:pt>
              </c:numCache>
            </c:numRef>
          </c:val>
          <c:extLst xmlns:c16r2="http://schemas.microsoft.com/office/drawing/2015/06/chart">
            <c:ext xmlns:c16="http://schemas.microsoft.com/office/drawing/2014/chart" uri="{C3380CC4-5D6E-409C-BE32-E72D297353CC}">
              <c16:uniqueId val="{00000001-9C56-4D4D-A7BB-F44B4DD191CF}"/>
            </c:ext>
            <c:ext xmlns:c15="http://schemas.microsoft.com/office/drawing/2012/chart" uri="{02D57815-91ED-43cb-92C2-25804820EDAC}">
              <c15:categoryFilterExceptions>
                <c15:categoryFilterException>
                  <c15:sqref>結果_IS!$Y$60</c15:sqref>
                  <c15: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
                  <c15:sqref>結果_IS!$Y$62</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s>
            </c:ext>
          </c:extLst>
        </c:ser>
        <c:dLbls>
          <c:showLegendKey val="0"/>
          <c:showVal val="1"/>
          <c:showCatName val="0"/>
          <c:showSerName val="0"/>
          <c:showPercent val="0"/>
          <c:showBubbleSize val="0"/>
        </c:dLbls>
        <c:gapWidth val="70"/>
        <c:axId val="163356856"/>
        <c:axId val="163357248"/>
      </c:barChart>
      <c:catAx>
        <c:axId val="163356856"/>
        <c:scaling>
          <c:orientation val="minMax"/>
        </c:scaling>
        <c:delete val="0"/>
        <c:axPos val="b"/>
        <c:numFmt formatCode="General" sourceLinked="1"/>
        <c:majorTickMark val="none"/>
        <c:minorTickMark val="none"/>
        <c:tickLblPos val="none"/>
        <c:spPr>
          <a:ln w="3175">
            <a:solidFill>
              <a:srgbClr val="000000"/>
            </a:solidFill>
            <a:prstDash val="solid"/>
          </a:ln>
        </c:spPr>
        <c:crossAx val="163357248"/>
        <c:crossesAt val="0"/>
        <c:auto val="1"/>
        <c:lblAlgn val="ctr"/>
        <c:lblOffset val="100"/>
        <c:tickMarkSkip val="1"/>
        <c:noMultiLvlLbl val="0"/>
      </c:catAx>
      <c:valAx>
        <c:axId val="16335724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33568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trlProps/ctrlProp1.xml><?xml version="1.0" encoding="utf-8"?>
<formControlPr xmlns="http://schemas.microsoft.com/office/spreadsheetml/2009/9/main" objectType="Radio" firstButton="1" fmlaLink="$Q$3"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11" Type="http://schemas.openxmlformats.org/officeDocument/2006/relationships/image" Target="../media/image5.png"/><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image" Target="../media/image6.png"/><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2" Type="http://schemas.openxmlformats.org/officeDocument/2006/relationships/chart" Target="../charts/chart10.xml"/><Relationship Id="rId1" Type="http://schemas.openxmlformats.org/officeDocument/2006/relationships/image" Target="../media/image1.emf"/><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22</xdr:row>
      <xdr:rowOff>190500</xdr:rowOff>
    </xdr:from>
    <xdr:to>
      <xdr:col>7</xdr:col>
      <xdr:colOff>428625</xdr:colOff>
      <xdr:row>26</xdr:row>
      <xdr:rowOff>152400</xdr:rowOff>
    </xdr:to>
    <xdr:graphicFrame macro="">
      <xdr:nvGraphicFramePr>
        <xdr:cNvPr id="3"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 name="Text Box 39"/>
        <xdr:cNvSpPr txBox="1">
          <a:spLocks noChangeArrowheads="1"/>
        </xdr:cNvSpPr>
      </xdr:nvSpPr>
      <xdr:spPr bwMode="auto">
        <a:xfrm>
          <a:off x="47625" y="38766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editAs="absolute">
    <xdr:from>
      <xdr:col>2</xdr:col>
      <xdr:colOff>552450</xdr:colOff>
      <xdr:row>26</xdr:row>
      <xdr:rowOff>133350</xdr:rowOff>
    </xdr:from>
    <xdr:to>
      <xdr:col>7</xdr:col>
      <xdr:colOff>200025</xdr:colOff>
      <xdr:row>39</xdr:row>
      <xdr:rowOff>76200</xdr:rowOff>
    </xdr:to>
    <xdr:graphicFrame macro="">
      <xdr:nvGraphicFramePr>
        <xdr:cNvPr id="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9</xdr:col>
      <xdr:colOff>895350</xdr:colOff>
      <xdr:row>22</xdr:row>
      <xdr:rowOff>209550</xdr:rowOff>
    </xdr:from>
    <xdr:to>
      <xdr:col>14</xdr:col>
      <xdr:colOff>152400</xdr:colOff>
      <xdr:row>38</xdr:row>
      <xdr:rowOff>123825</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1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76199</xdr:colOff>
      <xdr:row>42</xdr:row>
      <xdr:rowOff>104775</xdr:rowOff>
    </xdr:from>
    <xdr:to>
      <xdr:col>14</xdr:col>
      <xdr:colOff>371475</xdr:colOff>
      <xdr:row>50</xdr:row>
      <xdr:rowOff>161925</xdr:rowOff>
    </xdr:to>
    <xdr:graphicFrame macro="">
      <xdr:nvGraphicFramePr>
        <xdr:cNvPr id="1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2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47625</xdr:colOff>
      <xdr:row>54</xdr:row>
      <xdr:rowOff>0</xdr:rowOff>
    </xdr:from>
    <xdr:to>
      <xdr:col>14</xdr:col>
      <xdr:colOff>400050</xdr:colOff>
      <xdr:row>62</xdr:row>
      <xdr:rowOff>0</xdr:rowOff>
    </xdr:to>
    <xdr:graphicFrame macro="">
      <xdr:nvGraphicFramePr>
        <xdr:cNvPr id="2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22" name="Text Box 20"/>
        <xdr:cNvSpPr txBox="1">
          <a:spLocks noChangeArrowheads="1"/>
        </xdr:cNvSpPr>
      </xdr:nvSpPr>
      <xdr:spPr bwMode="auto">
        <a:xfrm>
          <a:off x="438150" y="88963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23" name="Text Box 21"/>
        <xdr:cNvSpPr txBox="1">
          <a:spLocks noChangeArrowheads="1"/>
        </xdr:cNvSpPr>
      </xdr:nvSpPr>
      <xdr:spPr bwMode="auto">
        <a:xfrm>
          <a:off x="4143375" y="88963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12</xdr:col>
      <xdr:colOff>712731</xdr:colOff>
      <xdr:row>49</xdr:row>
      <xdr:rowOff>142865</xdr:rowOff>
    </xdr:from>
    <xdr:ext cx="708143" cy="133370"/>
    <xdr:sp macro="" textlink="">
      <xdr:nvSpPr>
        <xdr:cNvPr id="24" name="Text Box 22"/>
        <xdr:cNvSpPr txBox="1">
          <a:spLocks noChangeArrowheads="1"/>
        </xdr:cNvSpPr>
      </xdr:nvSpPr>
      <xdr:spPr bwMode="auto">
        <a:xfrm>
          <a:off x="8332731" y="9286865"/>
          <a:ext cx="708143"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豊かな室外環境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25" name="Text Box 107"/>
        <xdr:cNvSpPr txBox="1">
          <a:spLocks noChangeArrowheads="1"/>
        </xdr:cNvSpPr>
      </xdr:nvSpPr>
      <xdr:spPr bwMode="auto">
        <a:xfrm>
          <a:off x="4972050" y="88487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26" name="Text Box 108"/>
        <xdr:cNvSpPr txBox="1">
          <a:spLocks noChangeArrowheads="1"/>
        </xdr:cNvSpPr>
      </xdr:nvSpPr>
      <xdr:spPr bwMode="auto">
        <a:xfrm>
          <a:off x="5876925" y="88487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oneCellAnchor>
    <xdr:from>
      <xdr:col>13</xdr:col>
      <xdr:colOff>85725</xdr:colOff>
      <xdr:row>42</xdr:row>
      <xdr:rowOff>9525</xdr:rowOff>
    </xdr:from>
    <xdr:ext cx="779957" cy="201850"/>
    <xdr:sp macro="" textlink="">
      <xdr:nvSpPr>
        <xdr:cNvPr id="29" name="Text Box 135"/>
        <xdr:cNvSpPr txBox="1">
          <a:spLocks noChangeArrowheads="1"/>
        </xdr:cNvSpPr>
      </xdr:nvSpPr>
      <xdr:spPr bwMode="auto">
        <a:xfrm>
          <a:off x="8601075" y="74104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30" name="Text Box 138"/>
        <xdr:cNvSpPr txBox="1">
          <a:spLocks noChangeArrowheads="1"/>
        </xdr:cNvSpPr>
      </xdr:nvSpPr>
      <xdr:spPr bwMode="auto">
        <a:xfrm>
          <a:off x="4943475" y="73818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31" name="Text Box 139"/>
        <xdr:cNvSpPr txBox="1">
          <a:spLocks noChangeArrowheads="1"/>
        </xdr:cNvSpPr>
      </xdr:nvSpPr>
      <xdr:spPr bwMode="auto">
        <a:xfrm>
          <a:off x="1981200" y="74009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32" name="Text Box 142"/>
        <xdr:cNvSpPr txBox="1">
          <a:spLocks noChangeArrowheads="1"/>
        </xdr:cNvSpPr>
      </xdr:nvSpPr>
      <xdr:spPr bwMode="auto">
        <a:xfrm>
          <a:off x="1152525" y="89058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33" name="Text Box 143"/>
        <xdr:cNvSpPr txBox="1">
          <a:spLocks noChangeArrowheads="1"/>
        </xdr:cNvSpPr>
      </xdr:nvSpPr>
      <xdr:spPr bwMode="auto">
        <a:xfrm>
          <a:off x="1943100" y="89058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34" name="Text Box 144"/>
        <xdr:cNvSpPr txBox="1">
          <a:spLocks noChangeArrowheads="1"/>
        </xdr:cNvSpPr>
      </xdr:nvSpPr>
      <xdr:spPr bwMode="auto">
        <a:xfrm>
          <a:off x="2562225" y="88963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61</xdr:row>
      <xdr:rowOff>190500</xdr:rowOff>
    </xdr:to>
    <xdr:sp macro="" textlink="">
      <xdr:nvSpPr>
        <xdr:cNvPr id="35" name="Text Box 7"/>
        <xdr:cNvSpPr txBox="1">
          <a:spLocks noChangeArrowheads="1"/>
        </xdr:cNvSpPr>
      </xdr:nvSpPr>
      <xdr:spPr bwMode="auto">
        <a:xfrm>
          <a:off x="4019550" y="110204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61</xdr:row>
      <xdr:rowOff>190500</xdr:rowOff>
    </xdr:to>
    <xdr:sp macro="" textlink="">
      <xdr:nvSpPr>
        <xdr:cNvPr id="36" name="Text Box 104"/>
        <xdr:cNvSpPr txBox="1">
          <a:spLocks noChangeArrowheads="1"/>
        </xdr:cNvSpPr>
      </xdr:nvSpPr>
      <xdr:spPr bwMode="auto">
        <a:xfrm>
          <a:off x="48863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37" name="Text Box 136"/>
        <xdr:cNvSpPr txBox="1">
          <a:spLocks noChangeArrowheads="1"/>
        </xdr:cNvSpPr>
      </xdr:nvSpPr>
      <xdr:spPr bwMode="auto">
        <a:xfrm>
          <a:off x="85820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38" name="Text Box 137"/>
        <xdr:cNvSpPr txBox="1">
          <a:spLocks noChangeArrowheads="1"/>
        </xdr:cNvSpPr>
      </xdr:nvSpPr>
      <xdr:spPr bwMode="auto">
        <a:xfrm>
          <a:off x="4857750"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39" name="Text Box 140"/>
        <xdr:cNvSpPr txBox="1">
          <a:spLocks noChangeArrowheads="1"/>
        </xdr:cNvSpPr>
      </xdr:nvSpPr>
      <xdr:spPr bwMode="auto">
        <a:xfrm>
          <a:off x="19145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61</xdr:row>
      <xdr:rowOff>190500</xdr:rowOff>
    </xdr:to>
    <xdr:sp macro="" textlink="">
      <xdr:nvSpPr>
        <xdr:cNvPr id="40" name="Text Box 145"/>
        <xdr:cNvSpPr txBox="1">
          <a:spLocks noChangeArrowheads="1"/>
        </xdr:cNvSpPr>
      </xdr:nvSpPr>
      <xdr:spPr bwMode="auto">
        <a:xfrm>
          <a:off x="57626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61</xdr:row>
      <xdr:rowOff>190500</xdr:rowOff>
    </xdr:to>
    <xdr:sp macro="" textlink="">
      <xdr:nvSpPr>
        <xdr:cNvPr id="41" name="Text Box 23"/>
        <xdr:cNvSpPr txBox="1">
          <a:spLocks noChangeArrowheads="1"/>
        </xdr:cNvSpPr>
      </xdr:nvSpPr>
      <xdr:spPr bwMode="auto">
        <a:xfrm>
          <a:off x="295275" y="110204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61</xdr:row>
      <xdr:rowOff>190500</xdr:rowOff>
    </xdr:to>
    <xdr:sp macro="" textlink="">
      <xdr:nvSpPr>
        <xdr:cNvPr id="42" name="Text Box 101"/>
        <xdr:cNvSpPr txBox="1">
          <a:spLocks noChangeArrowheads="1"/>
        </xdr:cNvSpPr>
      </xdr:nvSpPr>
      <xdr:spPr bwMode="auto">
        <a:xfrm>
          <a:off x="1171575" y="110204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43" name="Text Box 102"/>
        <xdr:cNvSpPr txBox="1">
          <a:spLocks noChangeArrowheads="1"/>
        </xdr:cNvSpPr>
      </xdr:nvSpPr>
      <xdr:spPr bwMode="auto">
        <a:xfrm>
          <a:off x="1866900" y="110204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44" name="Text Box 103"/>
        <xdr:cNvSpPr txBox="1">
          <a:spLocks noChangeArrowheads="1"/>
        </xdr:cNvSpPr>
      </xdr:nvSpPr>
      <xdr:spPr bwMode="auto">
        <a:xfrm>
          <a:off x="2752725" y="110204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12</xdr:col>
      <xdr:colOff>714375</xdr:colOff>
      <xdr:row>60</xdr:row>
      <xdr:rowOff>104775</xdr:rowOff>
    </xdr:from>
    <xdr:to>
      <xdr:col>13</xdr:col>
      <xdr:colOff>523875</xdr:colOff>
      <xdr:row>61</xdr:row>
      <xdr:rowOff>180975</xdr:rowOff>
    </xdr:to>
    <xdr:sp macro="" textlink="">
      <xdr:nvSpPr>
        <xdr:cNvPr id="46" name="Text Box 149"/>
        <xdr:cNvSpPr txBox="1">
          <a:spLocks noChangeArrowheads="1"/>
        </xdr:cNvSpPr>
      </xdr:nvSpPr>
      <xdr:spPr bwMode="auto">
        <a:xfrm>
          <a:off x="8334375" y="1142047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71</xdr:row>
      <xdr:rowOff>0</xdr:rowOff>
    </xdr:from>
    <xdr:to>
      <xdr:col>15</xdr:col>
      <xdr:colOff>9525</xdr:colOff>
      <xdr:row>97</xdr:row>
      <xdr:rowOff>76200</xdr:rowOff>
    </xdr:to>
    <xdr:sp macro="" textlink="">
      <xdr:nvSpPr>
        <xdr:cNvPr id="48" name="Text Box 141"/>
        <xdr:cNvSpPr txBox="1">
          <a:spLocks noChangeArrowheads="1"/>
        </xdr:cNvSpPr>
      </xdr:nvSpPr>
      <xdr:spPr bwMode="auto">
        <a:xfrm>
          <a:off x="57150" y="143351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1</xdr:col>
      <xdr:colOff>19050</xdr:colOff>
      <xdr:row>1</xdr:row>
      <xdr:rowOff>95250</xdr:rowOff>
    </xdr:from>
    <xdr:to>
      <xdr:col>11</xdr:col>
      <xdr:colOff>630658</xdr:colOff>
      <xdr:row>3</xdr:row>
      <xdr:rowOff>219075</xdr:rowOff>
    </xdr:to>
    <xdr:pic>
      <xdr:nvPicPr>
        <xdr:cNvPr id="50" name="図 4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171450"/>
          <a:ext cx="7269583" cy="600075"/>
        </a:xfrm>
        <a:prstGeom prst="rect">
          <a:avLst/>
        </a:prstGeom>
      </xdr:spPr>
    </xdr:pic>
    <xdr:clientData/>
  </xdr:twoCellAnchor>
  <xdr:twoCellAnchor>
    <xdr:from>
      <xdr:col>2</xdr:col>
      <xdr:colOff>628650</xdr:colOff>
      <xdr:row>26</xdr:row>
      <xdr:rowOff>9525</xdr:rowOff>
    </xdr:from>
    <xdr:to>
      <xdr:col>7</xdr:col>
      <xdr:colOff>723900</xdr:colOff>
      <xdr:row>27</xdr:row>
      <xdr:rowOff>38100</xdr:rowOff>
    </xdr:to>
    <xdr:sp macro="" textlink="">
      <xdr:nvSpPr>
        <xdr:cNvPr id="53" name="Text Box 129"/>
        <xdr:cNvSpPr txBox="1">
          <a:spLocks noChangeArrowheads="1"/>
        </xdr:cNvSpPr>
      </xdr:nvSpPr>
      <xdr:spPr bwMode="auto">
        <a:xfrm>
          <a:off x="847725" y="477202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619125</xdr:colOff>
      <xdr:row>23</xdr:row>
      <xdr:rowOff>0</xdr:rowOff>
    </xdr:from>
    <xdr:to>
      <xdr:col>6</xdr:col>
      <xdr:colOff>485775</xdr:colOff>
      <xdr:row>27</xdr:row>
      <xdr:rowOff>9525</xdr:rowOff>
    </xdr:to>
    <xdr:graphicFrame macro="">
      <xdr:nvGraphicFramePr>
        <xdr:cNvPr id="44"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5" name="Text Box 39"/>
        <xdr:cNvSpPr txBox="1">
          <a:spLocks noChangeArrowheads="1"/>
        </xdr:cNvSpPr>
      </xdr:nvSpPr>
      <xdr:spPr bwMode="auto">
        <a:xfrm>
          <a:off x="47625" y="39147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25</xdr:row>
      <xdr:rowOff>180975</xdr:rowOff>
    </xdr:from>
    <xdr:to>
      <xdr:col>7</xdr:col>
      <xdr:colOff>9525</xdr:colOff>
      <xdr:row>27</xdr:row>
      <xdr:rowOff>19050</xdr:rowOff>
    </xdr:to>
    <xdr:sp macro="" textlink="">
      <xdr:nvSpPr>
        <xdr:cNvPr id="46" name="Text Box 129"/>
        <xdr:cNvSpPr txBox="1">
          <a:spLocks noChangeArrowheads="1"/>
        </xdr:cNvSpPr>
      </xdr:nvSpPr>
      <xdr:spPr bwMode="auto">
        <a:xfrm>
          <a:off x="133350" y="42957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152400</xdr:colOff>
      <xdr:row>26</xdr:row>
      <xdr:rowOff>0</xdr:rowOff>
    </xdr:from>
    <xdr:to>
      <xdr:col>11</xdr:col>
      <xdr:colOff>228600</xdr:colOff>
      <xdr:row>27</xdr:row>
      <xdr:rowOff>28575</xdr:rowOff>
    </xdr:to>
    <xdr:sp macro="" textlink="">
      <xdr:nvSpPr>
        <xdr:cNvPr id="47" name="Text Box 129"/>
        <xdr:cNvSpPr txBox="1">
          <a:spLocks noChangeArrowheads="1"/>
        </xdr:cNvSpPr>
      </xdr:nvSpPr>
      <xdr:spPr bwMode="auto">
        <a:xfrm>
          <a:off x="3514725" y="43053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22</xdr:row>
      <xdr:rowOff>219075</xdr:rowOff>
    </xdr:from>
    <xdr:to>
      <xdr:col>10</xdr:col>
      <xdr:colOff>485775</xdr:colOff>
      <xdr:row>26</xdr:row>
      <xdr:rowOff>171450</xdr:rowOff>
    </xdr:to>
    <xdr:graphicFrame macro="">
      <xdr:nvGraphicFramePr>
        <xdr:cNvPr id="48"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xdr:col>
      <xdr:colOff>57150</xdr:colOff>
      <xdr:row>26</xdr:row>
      <xdr:rowOff>123825</xdr:rowOff>
    </xdr:from>
    <xdr:to>
      <xdr:col>6</xdr:col>
      <xdr:colOff>200025</xdr:colOff>
      <xdr:row>39</xdr:row>
      <xdr:rowOff>66675</xdr:rowOff>
    </xdr:to>
    <xdr:graphicFrame macro="">
      <xdr:nvGraphicFramePr>
        <xdr:cNvPr id="49"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27</xdr:row>
      <xdr:rowOff>47625</xdr:rowOff>
    </xdr:from>
    <xdr:to>
      <xdr:col>10</xdr:col>
      <xdr:colOff>857250</xdr:colOff>
      <xdr:row>36</xdr:row>
      <xdr:rowOff>47625</xdr:rowOff>
    </xdr:to>
    <xdr:graphicFrame macro="">
      <xdr:nvGraphicFramePr>
        <xdr:cNvPr id="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28</xdr:row>
      <xdr:rowOff>38100</xdr:rowOff>
    </xdr:from>
    <xdr:to>
      <xdr:col>8</xdr:col>
      <xdr:colOff>209550</xdr:colOff>
      <xdr:row>29</xdr:row>
      <xdr:rowOff>76200</xdr:rowOff>
    </xdr:to>
    <xdr:sp macro="" textlink="">
      <xdr:nvSpPr>
        <xdr:cNvPr id="51" name="Text Box 131"/>
        <xdr:cNvSpPr txBox="1">
          <a:spLocks noChangeArrowheads="1"/>
        </xdr:cNvSpPr>
      </xdr:nvSpPr>
      <xdr:spPr bwMode="auto">
        <a:xfrm>
          <a:off x="3362325" y="47244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29</xdr:row>
      <xdr:rowOff>161925</xdr:rowOff>
    </xdr:from>
    <xdr:to>
      <xdr:col>8</xdr:col>
      <xdr:colOff>276225</xdr:colOff>
      <xdr:row>31</xdr:row>
      <xdr:rowOff>9525</xdr:rowOff>
    </xdr:to>
    <xdr:sp macro="" textlink="">
      <xdr:nvSpPr>
        <xdr:cNvPr id="52" name="Text Box 46"/>
        <xdr:cNvSpPr txBox="1">
          <a:spLocks noChangeArrowheads="1"/>
        </xdr:cNvSpPr>
      </xdr:nvSpPr>
      <xdr:spPr bwMode="auto">
        <a:xfrm>
          <a:off x="3352800" y="50387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31</xdr:row>
      <xdr:rowOff>47625</xdr:rowOff>
    </xdr:from>
    <xdr:to>
      <xdr:col>8</xdr:col>
      <xdr:colOff>276225</xdr:colOff>
      <xdr:row>32</xdr:row>
      <xdr:rowOff>152400</xdr:rowOff>
    </xdr:to>
    <xdr:sp macro="" textlink="">
      <xdr:nvSpPr>
        <xdr:cNvPr id="53" name="Text Box 47"/>
        <xdr:cNvSpPr txBox="1">
          <a:spLocks noChangeArrowheads="1"/>
        </xdr:cNvSpPr>
      </xdr:nvSpPr>
      <xdr:spPr bwMode="auto">
        <a:xfrm>
          <a:off x="3352800" y="53054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32</xdr:row>
      <xdr:rowOff>180975</xdr:rowOff>
    </xdr:from>
    <xdr:to>
      <xdr:col>8</xdr:col>
      <xdr:colOff>276225</xdr:colOff>
      <xdr:row>34</xdr:row>
      <xdr:rowOff>95250</xdr:rowOff>
    </xdr:to>
    <xdr:sp macro="" textlink="">
      <xdr:nvSpPr>
        <xdr:cNvPr id="54" name="Text Box 49"/>
        <xdr:cNvSpPr txBox="1">
          <a:spLocks noChangeArrowheads="1"/>
        </xdr:cNvSpPr>
      </xdr:nvSpPr>
      <xdr:spPr bwMode="auto">
        <a:xfrm>
          <a:off x="3352800" y="56292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35</xdr:row>
      <xdr:rowOff>114300</xdr:rowOff>
    </xdr:from>
    <xdr:to>
      <xdr:col>11</xdr:col>
      <xdr:colOff>47625</xdr:colOff>
      <xdr:row>36</xdr:row>
      <xdr:rowOff>133350</xdr:rowOff>
    </xdr:to>
    <xdr:sp macro="" textlink="">
      <xdr:nvSpPr>
        <xdr:cNvPr id="55" name="Text Box 45"/>
        <xdr:cNvSpPr txBox="1">
          <a:spLocks noChangeArrowheads="1"/>
        </xdr:cNvSpPr>
      </xdr:nvSpPr>
      <xdr:spPr bwMode="auto">
        <a:xfrm>
          <a:off x="5800725" y="61341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editAs="absolute">
    <xdr:from>
      <xdr:col>10</xdr:col>
      <xdr:colOff>695325</xdr:colOff>
      <xdr:row>22</xdr:row>
      <xdr:rowOff>200025</xdr:rowOff>
    </xdr:from>
    <xdr:to>
      <xdr:col>15</xdr:col>
      <xdr:colOff>0</xdr:colOff>
      <xdr:row>38</xdr:row>
      <xdr:rowOff>104775</xdr:rowOff>
    </xdr:to>
    <xdr:graphicFrame macro="">
      <xdr:nvGraphicFramePr>
        <xdr:cNvPr id="5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5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5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209550</xdr:colOff>
      <xdr:row>42</xdr:row>
      <xdr:rowOff>104775</xdr:rowOff>
    </xdr:from>
    <xdr:to>
      <xdr:col>14</xdr:col>
      <xdr:colOff>714375</xdr:colOff>
      <xdr:row>50</xdr:row>
      <xdr:rowOff>161925</xdr:rowOff>
    </xdr:to>
    <xdr:graphicFrame macro="">
      <xdr:nvGraphicFramePr>
        <xdr:cNvPr id="6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6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219075</xdr:colOff>
      <xdr:row>54</xdr:row>
      <xdr:rowOff>0</xdr:rowOff>
    </xdr:from>
    <xdr:to>
      <xdr:col>14</xdr:col>
      <xdr:colOff>723900</xdr:colOff>
      <xdr:row>62</xdr:row>
      <xdr:rowOff>0</xdr:rowOff>
    </xdr:to>
    <xdr:graphicFrame macro="">
      <xdr:nvGraphicFramePr>
        <xdr:cNvPr id="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65" name="Text Box 20"/>
        <xdr:cNvSpPr txBox="1">
          <a:spLocks noChangeArrowheads="1"/>
        </xdr:cNvSpPr>
      </xdr:nvSpPr>
      <xdr:spPr bwMode="auto">
        <a:xfrm>
          <a:off x="438150" y="89344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66" name="Text Box 21"/>
        <xdr:cNvSpPr txBox="1">
          <a:spLocks noChangeArrowheads="1"/>
        </xdr:cNvSpPr>
      </xdr:nvSpPr>
      <xdr:spPr bwMode="auto">
        <a:xfrm>
          <a:off x="4143375" y="89344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561975</xdr:colOff>
      <xdr:row>49</xdr:row>
      <xdr:rowOff>171450</xdr:rowOff>
    </xdr:from>
    <xdr:ext cx="419100" cy="133350"/>
    <xdr:sp macro="" textlink="">
      <xdr:nvSpPr>
        <xdr:cNvPr id="67" name="Text Box 22"/>
        <xdr:cNvSpPr txBox="1">
          <a:spLocks noChangeArrowheads="1"/>
        </xdr:cNvSpPr>
      </xdr:nvSpPr>
      <xdr:spPr bwMode="auto">
        <a:xfrm>
          <a:off x="7277100" y="894397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68" name="Text Box 107"/>
        <xdr:cNvSpPr txBox="1">
          <a:spLocks noChangeArrowheads="1"/>
        </xdr:cNvSpPr>
      </xdr:nvSpPr>
      <xdr:spPr bwMode="auto">
        <a:xfrm>
          <a:off x="4972050" y="88868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69" name="Text Box 108"/>
        <xdr:cNvSpPr txBox="1">
          <a:spLocks noChangeArrowheads="1"/>
        </xdr:cNvSpPr>
      </xdr:nvSpPr>
      <xdr:spPr bwMode="auto">
        <a:xfrm>
          <a:off x="5876925" y="88868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495300</xdr:colOff>
      <xdr:row>49</xdr:row>
      <xdr:rowOff>114300</xdr:rowOff>
    </xdr:from>
    <xdr:to>
      <xdr:col>13</xdr:col>
      <xdr:colOff>142875</xdr:colOff>
      <xdr:row>51</xdr:row>
      <xdr:rowOff>0</xdr:rowOff>
    </xdr:to>
    <xdr:sp macro="" textlink="">
      <xdr:nvSpPr>
        <xdr:cNvPr id="70" name="Text Box 109"/>
        <xdr:cNvSpPr txBox="1">
          <a:spLocks noChangeArrowheads="1"/>
        </xdr:cNvSpPr>
      </xdr:nvSpPr>
      <xdr:spPr bwMode="auto">
        <a:xfrm>
          <a:off x="8115300" y="8886825"/>
          <a:ext cx="5429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523875</xdr:colOff>
      <xdr:row>49</xdr:row>
      <xdr:rowOff>114300</xdr:rowOff>
    </xdr:from>
    <xdr:to>
      <xdr:col>14</xdr:col>
      <xdr:colOff>342900</xdr:colOff>
      <xdr:row>51</xdr:row>
      <xdr:rowOff>0</xdr:rowOff>
    </xdr:to>
    <xdr:sp macro="" textlink="">
      <xdr:nvSpPr>
        <xdr:cNvPr id="71" name="Text Box 110"/>
        <xdr:cNvSpPr txBox="1">
          <a:spLocks noChangeArrowheads="1"/>
        </xdr:cNvSpPr>
      </xdr:nvSpPr>
      <xdr:spPr bwMode="auto">
        <a:xfrm>
          <a:off x="9039225" y="8886825"/>
          <a:ext cx="4762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42</xdr:row>
      <xdr:rowOff>9525</xdr:rowOff>
    </xdr:from>
    <xdr:ext cx="779957" cy="201850"/>
    <xdr:sp macro="" textlink="">
      <xdr:nvSpPr>
        <xdr:cNvPr id="72" name="Text Box 135"/>
        <xdr:cNvSpPr txBox="1">
          <a:spLocks noChangeArrowheads="1"/>
        </xdr:cNvSpPr>
      </xdr:nvSpPr>
      <xdr:spPr bwMode="auto">
        <a:xfrm>
          <a:off x="8601075" y="74485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73" name="Text Box 138"/>
        <xdr:cNvSpPr txBox="1">
          <a:spLocks noChangeArrowheads="1"/>
        </xdr:cNvSpPr>
      </xdr:nvSpPr>
      <xdr:spPr bwMode="auto">
        <a:xfrm>
          <a:off x="4943475" y="74199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74" name="Text Box 139"/>
        <xdr:cNvSpPr txBox="1">
          <a:spLocks noChangeArrowheads="1"/>
        </xdr:cNvSpPr>
      </xdr:nvSpPr>
      <xdr:spPr bwMode="auto">
        <a:xfrm>
          <a:off x="1981200" y="74390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75" name="Text Box 142"/>
        <xdr:cNvSpPr txBox="1">
          <a:spLocks noChangeArrowheads="1"/>
        </xdr:cNvSpPr>
      </xdr:nvSpPr>
      <xdr:spPr bwMode="auto">
        <a:xfrm>
          <a:off x="1152525" y="89439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76" name="Text Box 143"/>
        <xdr:cNvSpPr txBox="1">
          <a:spLocks noChangeArrowheads="1"/>
        </xdr:cNvSpPr>
      </xdr:nvSpPr>
      <xdr:spPr bwMode="auto">
        <a:xfrm>
          <a:off x="1943100" y="89439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77" name="Text Box 144"/>
        <xdr:cNvSpPr txBox="1">
          <a:spLocks noChangeArrowheads="1"/>
        </xdr:cNvSpPr>
      </xdr:nvSpPr>
      <xdr:spPr bwMode="auto">
        <a:xfrm>
          <a:off x="2562225" y="89344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61</xdr:row>
      <xdr:rowOff>190500</xdr:rowOff>
    </xdr:to>
    <xdr:sp macro="" textlink="">
      <xdr:nvSpPr>
        <xdr:cNvPr id="78" name="Text Box 7"/>
        <xdr:cNvSpPr txBox="1">
          <a:spLocks noChangeArrowheads="1"/>
        </xdr:cNvSpPr>
      </xdr:nvSpPr>
      <xdr:spPr bwMode="auto">
        <a:xfrm>
          <a:off x="4019550" y="110585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61</xdr:row>
      <xdr:rowOff>190500</xdr:rowOff>
    </xdr:to>
    <xdr:sp macro="" textlink="">
      <xdr:nvSpPr>
        <xdr:cNvPr id="79" name="Text Box 104"/>
        <xdr:cNvSpPr txBox="1">
          <a:spLocks noChangeArrowheads="1"/>
        </xdr:cNvSpPr>
      </xdr:nvSpPr>
      <xdr:spPr bwMode="auto">
        <a:xfrm>
          <a:off x="48863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80" name="Text Box 136"/>
        <xdr:cNvSpPr txBox="1">
          <a:spLocks noChangeArrowheads="1"/>
        </xdr:cNvSpPr>
      </xdr:nvSpPr>
      <xdr:spPr bwMode="auto">
        <a:xfrm>
          <a:off x="85820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81" name="Text Box 137"/>
        <xdr:cNvSpPr txBox="1">
          <a:spLocks noChangeArrowheads="1"/>
        </xdr:cNvSpPr>
      </xdr:nvSpPr>
      <xdr:spPr bwMode="auto">
        <a:xfrm>
          <a:off x="4857750"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82" name="Text Box 140"/>
        <xdr:cNvSpPr txBox="1">
          <a:spLocks noChangeArrowheads="1"/>
        </xdr:cNvSpPr>
      </xdr:nvSpPr>
      <xdr:spPr bwMode="auto">
        <a:xfrm>
          <a:off x="19145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61</xdr:row>
      <xdr:rowOff>190500</xdr:rowOff>
    </xdr:to>
    <xdr:sp macro="" textlink="">
      <xdr:nvSpPr>
        <xdr:cNvPr id="83" name="Text Box 145"/>
        <xdr:cNvSpPr txBox="1">
          <a:spLocks noChangeArrowheads="1"/>
        </xdr:cNvSpPr>
      </xdr:nvSpPr>
      <xdr:spPr bwMode="auto">
        <a:xfrm>
          <a:off x="57626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61</xdr:row>
      <xdr:rowOff>190500</xdr:rowOff>
    </xdr:to>
    <xdr:sp macro="" textlink="">
      <xdr:nvSpPr>
        <xdr:cNvPr id="84" name="Text Box 23"/>
        <xdr:cNvSpPr txBox="1">
          <a:spLocks noChangeArrowheads="1"/>
        </xdr:cNvSpPr>
      </xdr:nvSpPr>
      <xdr:spPr bwMode="auto">
        <a:xfrm>
          <a:off x="295275" y="110585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61</xdr:row>
      <xdr:rowOff>190500</xdr:rowOff>
    </xdr:to>
    <xdr:sp macro="" textlink="">
      <xdr:nvSpPr>
        <xdr:cNvPr id="85" name="Text Box 101"/>
        <xdr:cNvSpPr txBox="1">
          <a:spLocks noChangeArrowheads="1"/>
        </xdr:cNvSpPr>
      </xdr:nvSpPr>
      <xdr:spPr bwMode="auto">
        <a:xfrm>
          <a:off x="1171575" y="110585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86" name="Text Box 102"/>
        <xdr:cNvSpPr txBox="1">
          <a:spLocks noChangeArrowheads="1"/>
        </xdr:cNvSpPr>
      </xdr:nvSpPr>
      <xdr:spPr bwMode="auto">
        <a:xfrm>
          <a:off x="1866900" y="110585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87" name="Text Box 103"/>
        <xdr:cNvSpPr txBox="1">
          <a:spLocks noChangeArrowheads="1"/>
        </xdr:cNvSpPr>
      </xdr:nvSpPr>
      <xdr:spPr bwMode="auto">
        <a:xfrm>
          <a:off x="2752725" y="110585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457200</xdr:colOff>
      <xdr:row>60</xdr:row>
      <xdr:rowOff>104775</xdr:rowOff>
    </xdr:from>
    <xdr:to>
      <xdr:col>12</xdr:col>
      <xdr:colOff>257175</xdr:colOff>
      <xdr:row>61</xdr:row>
      <xdr:rowOff>180975</xdr:rowOff>
    </xdr:to>
    <xdr:sp macro="" textlink="">
      <xdr:nvSpPr>
        <xdr:cNvPr id="88" name="Text Box 148"/>
        <xdr:cNvSpPr txBox="1">
          <a:spLocks noChangeArrowheads="1"/>
        </xdr:cNvSpPr>
      </xdr:nvSpPr>
      <xdr:spPr bwMode="auto">
        <a:xfrm>
          <a:off x="717232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447675</xdr:colOff>
      <xdr:row>60</xdr:row>
      <xdr:rowOff>104775</xdr:rowOff>
    </xdr:from>
    <xdr:to>
      <xdr:col>13</xdr:col>
      <xdr:colOff>257175</xdr:colOff>
      <xdr:row>61</xdr:row>
      <xdr:rowOff>180975</xdr:rowOff>
    </xdr:to>
    <xdr:sp macro="" textlink="">
      <xdr:nvSpPr>
        <xdr:cNvPr id="89" name="Text Box 149"/>
        <xdr:cNvSpPr txBox="1">
          <a:spLocks noChangeArrowheads="1"/>
        </xdr:cNvSpPr>
      </xdr:nvSpPr>
      <xdr:spPr bwMode="auto">
        <a:xfrm>
          <a:off x="80676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466725</xdr:colOff>
      <xdr:row>60</xdr:row>
      <xdr:rowOff>104775</xdr:rowOff>
    </xdr:from>
    <xdr:to>
      <xdr:col>14</xdr:col>
      <xdr:colOff>514350</xdr:colOff>
      <xdr:row>61</xdr:row>
      <xdr:rowOff>180975</xdr:rowOff>
    </xdr:to>
    <xdr:sp macro="" textlink="">
      <xdr:nvSpPr>
        <xdr:cNvPr id="90" name="Text Box 150"/>
        <xdr:cNvSpPr txBox="1">
          <a:spLocks noChangeArrowheads="1"/>
        </xdr:cNvSpPr>
      </xdr:nvSpPr>
      <xdr:spPr bwMode="auto">
        <a:xfrm>
          <a:off x="89820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71</xdr:row>
      <xdr:rowOff>0</xdr:rowOff>
    </xdr:from>
    <xdr:to>
      <xdr:col>15</xdr:col>
      <xdr:colOff>9525</xdr:colOff>
      <xdr:row>97</xdr:row>
      <xdr:rowOff>76200</xdr:rowOff>
    </xdr:to>
    <xdr:sp macro="" textlink="">
      <xdr:nvSpPr>
        <xdr:cNvPr id="58" name="Text Box 141"/>
        <xdr:cNvSpPr txBox="1">
          <a:spLocks noChangeArrowheads="1"/>
        </xdr:cNvSpPr>
      </xdr:nvSpPr>
      <xdr:spPr bwMode="auto">
        <a:xfrm>
          <a:off x="57150" y="144113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1</xdr:col>
      <xdr:colOff>85725</xdr:colOff>
      <xdr:row>1</xdr:row>
      <xdr:rowOff>76200</xdr:rowOff>
    </xdr:from>
    <xdr:to>
      <xdr:col>11</xdr:col>
      <xdr:colOff>178057</xdr:colOff>
      <xdr:row>4</xdr:row>
      <xdr:rowOff>47625</xdr:rowOff>
    </xdr:to>
    <xdr:pic>
      <xdr:nvPicPr>
        <xdr:cNvPr id="2" name="図 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2875" y="152400"/>
          <a:ext cx="6750307" cy="685800"/>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2.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X$40">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X$41">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#DIV/0!</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X$42">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#DIV/0!</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X$43">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#DIV/0!</a:t>
          </a:fld>
          <a:endParaRPr lang="ja-JP" altLang="en-US" sz="800" b="1">
            <a:solidFill>
              <a:sysClr val="windowText" lastClr="000000"/>
            </a:solidFill>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0.11657</cdr:x>
      <cdr:y>0.65863</cdr:y>
    </cdr:from>
    <cdr:to>
      <cdr:x>0.27842</cdr:x>
      <cdr:y>0.80924</cdr:y>
    </cdr:to>
    <cdr:sp macro="" textlink="結果!$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0.342</cdr:x>
      <cdr:y>0.65261</cdr:y>
    </cdr:from>
    <cdr:to>
      <cdr:x>0.50385</cdr:x>
      <cdr:y>0.80321</cdr:y>
    </cdr:to>
    <cdr:sp macro="" textlink="結果!$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0.80154</cdr:x>
      <cdr:y>0.65863</cdr:y>
    </cdr:from>
    <cdr:to>
      <cdr:x>0.96339</cdr:x>
      <cdr:y>0.80924</cdr:y>
    </cdr:to>
    <cdr:sp macro="" textlink="結果!$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1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0.43837</cdr:x>
      <cdr:y>0.67068</cdr:y>
    </cdr:from>
    <cdr:to>
      <cdr:x>0.62808</cdr:x>
      <cdr:y>0.81526</cdr:y>
    </cdr:to>
    <cdr:sp macro="" textlink="結果!$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0.73741</cdr:x>
      <cdr:y>0.67068</cdr:y>
    </cdr:from>
    <cdr:to>
      <cdr:x>0.92712</cdr:x>
      <cdr:y>0.81526</cdr:y>
    </cdr:to>
    <cdr:sp macro="" textlink="結果!$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結果!$Z$49">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結果!$Z$50">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結果!$Z$51">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1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結果!$Z$60">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結果!$Z$62">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xdr:row>
          <xdr:rowOff>152400</xdr:rowOff>
        </xdr:from>
        <xdr:to>
          <xdr:col>2</xdr:col>
          <xdr:colOff>0</xdr:colOff>
          <xdr:row>9</xdr:row>
          <xdr:rowOff>152400</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14</xdr:row>
          <xdr:rowOff>127000</xdr:rowOff>
        </xdr:from>
        <xdr:to>
          <xdr:col>2</xdr:col>
          <xdr:colOff>0</xdr:colOff>
          <xdr:row>16</xdr:row>
          <xdr:rowOff>19050</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18</xdr:row>
          <xdr:rowOff>69850</xdr:rowOff>
        </xdr:from>
        <xdr:to>
          <xdr:col>2</xdr:col>
          <xdr:colOff>0</xdr:colOff>
          <xdr:row>20</xdr:row>
          <xdr:rowOff>114300</xdr:rowOff>
        </xdr:to>
        <xdr:sp macro="" textlink="">
          <xdr:nvSpPr>
            <xdr:cNvPr id="3075" name="Option Button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22</xdr:row>
          <xdr:rowOff>184150</xdr:rowOff>
        </xdr:from>
        <xdr:to>
          <xdr:col>2</xdr:col>
          <xdr:colOff>0</xdr:colOff>
          <xdr:row>24</xdr:row>
          <xdr:rowOff>0</xdr:rowOff>
        </xdr:to>
        <xdr:sp macro="" textlink="">
          <xdr:nvSpPr>
            <xdr:cNvPr id="3076" name="Option Button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26</xdr:row>
          <xdr:rowOff>146050</xdr:rowOff>
        </xdr:from>
        <xdr:to>
          <xdr:col>2</xdr:col>
          <xdr:colOff>0</xdr:colOff>
          <xdr:row>28</xdr:row>
          <xdr:rowOff>0</xdr:rowOff>
        </xdr:to>
        <xdr:sp macro="" textlink="">
          <xdr:nvSpPr>
            <xdr:cNvPr id="3077" name="Option Button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20.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xdr:cNvSpPr txBox="1">
          <a:spLocks noChangeArrowheads="1"/>
        </xdr:cNvSpPr>
      </xdr:nvSpPr>
      <xdr:spPr bwMode="auto">
        <a:xfrm>
          <a:off x="4400550" y="104775"/>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評価ソフト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ＭＳ Ｐゴシック"/>
              <a:ea typeface="ＭＳ Ｐゴシック"/>
            </a:rPr>
            <a:t>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BD</a:t>
          </a:r>
          <a:r>
            <a:rPr lang="en-US" altLang="ja-JP" sz="1100" b="0" i="0" u="none" strike="noStrike" baseline="0">
              <a:solidFill>
                <a:srgbClr val="000000"/>
              </a:solidFill>
              <a:latin typeface="ＭＳ Ｐゴシック"/>
              <a:ea typeface="ＭＳ Ｐゴシック"/>
            </a:rPr>
            <a:t>_</a:t>
          </a:r>
          <a:r>
            <a:rPr lang="ja-JP" altLang="en-US" sz="1100" b="0" i="0" u="none" strike="noStrike" baseline="0">
              <a:solidFill>
                <a:srgbClr val="000000"/>
              </a:solidFill>
              <a:latin typeface="ＭＳ Ｐゴシック"/>
              <a:ea typeface="ＭＳ Ｐゴシック"/>
            </a:rPr>
            <a:t>NC_201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(v.</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年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月発行　（2004年 7月初版）</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編集協力　　 　国土交通省住宅局</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　　　</a:t>
          </a: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一般財団法人　建築環境・省エネルギー機構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また、Microsoft Windows、Microsoft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一般社団法人　日本サステナブル建築協会</a:t>
          </a:r>
        </a:p>
        <a:p>
          <a:pPr algn="l" rtl="0">
            <a:lnSpc>
              <a:spcPts val="1300"/>
            </a:lnSpc>
            <a:defRPr sz="1000"/>
          </a:pPr>
          <a:r>
            <a:rPr lang="ja-JP" altLang="en-US" sz="1100" b="0" i="0" u="none" strike="noStrike" baseline="0">
              <a:solidFill>
                <a:srgbClr val="000000"/>
              </a:solidFill>
              <a:latin typeface="ＭＳ Ｐゴシック"/>
              <a:ea typeface="ＭＳ Ｐゴシック"/>
            </a:rPr>
            <a:t>　　　　　〒102-0083　東京都千代田区麹町３－５－１全共連ビル麹町館</a:t>
          </a:r>
        </a:p>
        <a:p>
          <a:pPr algn="l" rtl="0">
            <a:defRPr sz="1000"/>
          </a:pPr>
          <a:r>
            <a:rPr lang="ja-JP" altLang="en-US" sz="1100" b="0" i="0" u="none" strike="noStrike" baseline="0">
              <a:solidFill>
                <a:srgbClr val="000000"/>
              </a:solidFill>
              <a:latin typeface="ＭＳ Ｐゴシック"/>
              <a:ea typeface="ＭＳ Ｐゴシック"/>
            </a:rPr>
            <a:t>　　　　　E-Mail  casbee-info@jsbc.or.jp</a:t>
          </a:r>
        </a:p>
        <a:p>
          <a:pPr algn="l" rtl="0">
            <a:lnSpc>
              <a:spcPts val="1300"/>
            </a:lnSpc>
            <a:defRPr sz="1000"/>
          </a:pPr>
          <a:r>
            <a:rPr lang="ja-JP" altLang="en-US" sz="1100" b="0" i="0" u="none" strike="noStrike" baseline="0">
              <a:solidFill>
                <a:srgbClr val="000000"/>
              </a:solidFill>
              <a:latin typeface="ＭＳ Ｐゴシック"/>
              <a:ea typeface="ＭＳ Ｐゴシック"/>
            </a:rPr>
            <a:t>　　　　　URL　http://www.jsbc.or.jp/CASBEE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 Japan Sustainable Building Consortium (JSBC)</a:t>
          </a: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4099" name="Text Box 3"/>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0.11657</cdr:x>
      <cdr:y>0.65863</cdr:y>
    </cdr:from>
    <cdr:to>
      <cdr:x>0.27842</cdr:x>
      <cdr:y>0.80924</cdr:y>
    </cdr:to>
    <cdr:sp macro="" textlink="結果_IS!$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0.342</cdr:x>
      <cdr:y>0.65261</cdr:y>
    </cdr:from>
    <cdr:to>
      <cdr:x>0.50385</cdr:x>
      <cdr:y>0.80321</cdr:y>
    </cdr:to>
    <cdr:sp macro="" textlink="結果_IS!$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0.80154</cdr:x>
      <cdr:y>0.65863</cdr:y>
    </cdr:from>
    <cdr:to>
      <cdr:x>0.96339</cdr:x>
      <cdr:y>0.80924</cdr:y>
    </cdr:to>
    <cdr:sp macro="" textlink="結果_IS!$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0.43837</cdr:x>
      <cdr:y>0.67068</cdr:y>
    </cdr:from>
    <cdr:to>
      <cdr:x>0.62808</cdr:x>
      <cdr:y>0.81526</cdr:y>
    </cdr:to>
    <cdr:sp macro="" textlink="結果_IS!$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0.73741</cdr:x>
      <cdr:y>0.67068</cdr:y>
    </cdr:from>
    <cdr:to>
      <cdr:x>0.92712</cdr:x>
      <cdr:y>0.81526</cdr:y>
    </cdr:to>
    <cdr:sp macro="" textlink="結果_IS!$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0.39691</cdr:x>
      <cdr:y>0.67068</cdr:y>
    </cdr:from>
    <cdr:to>
      <cdr:x>0.64676</cdr:x>
      <cdr:y>0.81526</cdr:y>
    </cdr:to>
    <cdr:sp macro="" textlink="結果_IS!$Z$49">
      <cdr:nvSpPr>
        <cdr:cNvPr id="4" name="テキスト ボックス 1"/>
        <cdr:cNvSpPr txBox="1"/>
      </cdr:nvSpPr>
      <cdr:spPr>
        <a:xfrm xmlns:a="http://schemas.openxmlformats.org/drawingml/2006/main">
          <a:off x="733426" y="1060446"/>
          <a:ext cx="461697"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C767FA-1298-460C-A31A-5C424D1475D3}" type="TxLink">
            <a:rPr lang="en-US" altLang="en-US" sz="1100" b="0" i="0" u="none" strike="noStrike">
              <a:solidFill>
                <a:srgbClr val="000000"/>
              </a:solidFill>
              <a:latin typeface="Arial"/>
              <a:cs typeface="Arial"/>
            </a:rPr>
            <a:pPr algn="ctr"/>
            <a:t>#DIV/0!</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_IS!$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_IS!$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_IS!$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_IS!$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_IS!$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0.43837</cdr:x>
      <cdr:y>0.6767</cdr:y>
    </cdr:from>
    <cdr:to>
      <cdr:x>0.62808</cdr:x>
      <cdr:y>0.82128</cdr:y>
    </cdr:to>
    <cdr:sp macro="" textlink="結果_IS!$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xdr:col>
      <xdr:colOff>247650</xdr:colOff>
      <xdr:row>1</xdr:row>
      <xdr:rowOff>47625</xdr:rowOff>
    </xdr:from>
    <xdr:to>
      <xdr:col>5</xdr:col>
      <xdr:colOff>615106</xdr:colOff>
      <xdr:row>2</xdr:row>
      <xdr:rowOff>295275</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52400"/>
          <a:ext cx="5625256" cy="571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9.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15"/>
  <sheetViews>
    <sheetView showGridLines="0" workbookViewId="0">
      <selection activeCell="L60" sqref="L60"/>
    </sheetView>
  </sheetViews>
  <sheetFormatPr defaultColWidth="0" defaultRowHeight="0" customHeight="1" zeroHeight="1"/>
  <cols>
    <col min="1" max="1" width="0.7265625" style="144" customWidth="1"/>
    <col min="2" max="2" width="2.08984375" style="162" customWidth="1"/>
    <col min="3" max="3" width="13.36328125" style="162" customWidth="1"/>
    <col min="4" max="4" width="5.36328125" style="163" customWidth="1"/>
    <col min="5" max="5" width="9.7265625" style="547" customWidth="1"/>
    <col min="6" max="6" width="6.26953125" style="521" customWidth="1"/>
    <col min="7" max="7" width="6.453125" style="521" customWidth="1"/>
    <col min="8" max="8" width="13.08984375" style="521" customWidth="1"/>
    <col min="9" max="9" width="6.90625" style="522" customWidth="1"/>
    <col min="10" max="10" width="12.08984375" style="522" customWidth="1"/>
    <col min="11" max="12" width="11.90625" style="521" customWidth="1"/>
    <col min="13" max="13" width="11.7265625" style="524" customWidth="1"/>
    <col min="14" max="14" width="8.6328125" style="524" customWidth="1"/>
    <col min="15" max="15" width="11.453125" style="524" customWidth="1"/>
    <col min="16" max="16" width="0.7265625" style="144" customWidth="1"/>
    <col min="17" max="17" width="3.90625" style="144" bestFit="1" customWidth="1"/>
    <col min="18" max="18" width="20.6328125" style="154" bestFit="1" customWidth="1"/>
    <col min="19" max="19" width="18.6328125" style="533" bestFit="1" customWidth="1"/>
    <col min="20" max="20" width="15.26953125" style="154" bestFit="1" customWidth="1"/>
    <col min="21" max="21" width="19.26953125" style="154" bestFit="1" customWidth="1"/>
    <col min="22" max="22" width="18.6328125" style="154" bestFit="1" customWidth="1"/>
    <col min="23" max="23" width="12.7265625" style="154" bestFit="1" customWidth="1"/>
    <col min="24" max="24" width="30.6328125" style="154" customWidth="1"/>
    <col min="25" max="26" width="18.6328125" style="154" bestFit="1" customWidth="1"/>
    <col min="27" max="27" width="4.453125" style="154" bestFit="1" customWidth="1"/>
    <col min="28" max="28" width="6.36328125" style="154" hidden="1" customWidth="1"/>
    <col min="29" max="29" width="6.36328125" style="507" hidden="1" customWidth="1"/>
    <col min="30" max="31" width="5" style="507" hidden="1" customWidth="1"/>
    <col min="32" max="32" width="5.08984375" style="507" hidden="1" customWidth="1"/>
    <col min="33" max="16384" width="9" style="507" hidden="1"/>
  </cols>
  <sheetData>
    <row r="1" spans="1:28" s="142" customFormat="1" ht="6" customHeight="1" thickBot="1">
      <c r="A1" s="134"/>
      <c r="B1" s="135"/>
      <c r="C1" s="136"/>
      <c r="D1" s="137"/>
      <c r="E1" s="138"/>
      <c r="F1" s="139"/>
      <c r="G1" s="139"/>
      <c r="H1" s="139"/>
      <c r="I1" s="140"/>
      <c r="J1" s="140"/>
      <c r="K1" s="139"/>
      <c r="L1" s="141"/>
      <c r="M1" s="138"/>
      <c r="N1" s="138"/>
      <c r="O1" s="134"/>
      <c r="P1" s="134"/>
      <c r="Q1" s="134"/>
      <c r="S1" s="143"/>
    </row>
    <row r="2" spans="1:28" s="154" customFormat="1" ht="18.75" customHeight="1" thickTop="1">
      <c r="A2" s="144"/>
      <c r="B2" s="145"/>
      <c r="C2" s="146"/>
      <c r="D2" s="147"/>
      <c r="E2" s="148"/>
      <c r="F2" s="149"/>
      <c r="G2" s="149"/>
      <c r="H2" s="149"/>
      <c r="I2" s="150"/>
      <c r="J2" s="151"/>
      <c r="K2" s="151"/>
      <c r="L2" s="151"/>
      <c r="M2" s="151"/>
      <c r="N2" s="149"/>
      <c r="O2" s="152"/>
      <c r="P2" s="144"/>
      <c r="Q2" s="3062" t="s">
        <v>2253</v>
      </c>
      <c r="R2" s="153"/>
      <c r="S2" s="153"/>
      <c r="T2" s="153"/>
      <c r="U2" s="153"/>
      <c r="V2" s="153"/>
      <c r="W2" s="153"/>
      <c r="X2" s="153"/>
      <c r="Y2" s="153"/>
      <c r="Z2" s="153"/>
      <c r="AA2" s="153"/>
      <c r="AB2" s="153"/>
    </row>
    <row r="3" spans="1:28" s="154" customFormat="1" ht="18.75" customHeight="1">
      <c r="A3" s="144"/>
      <c r="B3" s="145"/>
      <c r="C3" s="146"/>
      <c r="D3" s="147"/>
      <c r="E3" s="148"/>
      <c r="F3" s="149"/>
      <c r="G3" s="149"/>
      <c r="H3" s="149"/>
      <c r="I3" s="150"/>
      <c r="J3" s="151"/>
      <c r="K3" s="151"/>
      <c r="L3" s="151"/>
      <c r="M3" s="151"/>
      <c r="N3" s="149"/>
      <c r="O3" s="155"/>
      <c r="P3" s="144"/>
      <c r="Q3" s="3063"/>
      <c r="R3" s="153"/>
      <c r="S3" s="153"/>
      <c r="T3" s="153"/>
      <c r="U3" s="153"/>
      <c r="V3" s="153"/>
      <c r="W3" s="153"/>
      <c r="X3" s="153"/>
      <c r="Y3" s="153"/>
      <c r="Z3" s="153"/>
      <c r="AA3" s="153"/>
      <c r="AB3" s="153"/>
    </row>
    <row r="4" spans="1:28" s="154" customFormat="1" ht="18.75" customHeight="1">
      <c r="A4" s="144"/>
      <c r="B4" s="145"/>
      <c r="C4" s="146"/>
      <c r="D4" s="147"/>
      <c r="E4" s="148"/>
      <c r="F4" s="149"/>
      <c r="G4" s="149"/>
      <c r="H4" s="149"/>
      <c r="I4" s="156"/>
      <c r="J4" s="151"/>
      <c r="K4" s="151"/>
      <c r="L4" s="151"/>
      <c r="M4" s="151"/>
      <c r="N4" s="149"/>
      <c r="O4" s="152"/>
      <c r="P4" s="144"/>
      <c r="Q4" s="3063"/>
      <c r="R4" s="153"/>
      <c r="S4" s="153"/>
      <c r="T4" s="153"/>
      <c r="U4" s="153"/>
      <c r="V4" s="153"/>
      <c r="W4" s="153"/>
      <c r="X4" s="153"/>
      <c r="Y4" s="153"/>
      <c r="Z4" s="153"/>
      <c r="AA4" s="153"/>
      <c r="AB4" s="153"/>
    </row>
    <row r="5" spans="1:28" s="154" customFormat="1" ht="13.5" customHeight="1" thickBot="1">
      <c r="A5" s="144"/>
      <c r="B5" s="157"/>
      <c r="C5" s="158"/>
      <c r="D5" s="147"/>
      <c r="E5" s="148"/>
      <c r="F5" s="149"/>
      <c r="G5" s="149"/>
      <c r="H5" s="149"/>
      <c r="I5" s="159"/>
      <c r="J5" s="160" t="s">
        <v>2157</v>
      </c>
      <c r="K5" s="3065" t="str">
        <f>メイン!C6</f>
        <v>CASBEE-建築(新築)2016年版</v>
      </c>
      <c r="L5" s="3066"/>
      <c r="M5" s="160" t="s">
        <v>2254</v>
      </c>
      <c r="N5" s="3065" t="str">
        <f>メイン!C5</f>
        <v>CASBEE-BD_NC_2016(v3.0)</v>
      </c>
      <c r="O5" s="3067"/>
      <c r="P5" s="144"/>
      <c r="Q5" s="3064"/>
      <c r="R5" s="176" t="s">
        <v>2257</v>
      </c>
      <c r="T5" s="153"/>
      <c r="U5" s="176" t="s">
        <v>2258</v>
      </c>
      <c r="V5" s="153"/>
      <c r="W5" s="153"/>
      <c r="X5" s="153"/>
      <c r="Y5" s="153"/>
      <c r="Z5" s="153"/>
      <c r="AA5" s="153"/>
      <c r="AB5" s="153"/>
    </row>
    <row r="6" spans="1:28" s="154" customFormat="1" ht="6" customHeight="1" thickTop="1" thickBot="1">
      <c r="A6" s="144"/>
      <c r="B6" s="161"/>
      <c r="C6" s="162"/>
      <c r="D6" s="163"/>
      <c r="E6" s="164"/>
      <c r="F6" s="165"/>
      <c r="G6" s="165"/>
      <c r="H6" s="165"/>
      <c r="I6" s="166"/>
      <c r="J6" s="167"/>
      <c r="K6" s="167"/>
      <c r="L6" s="168"/>
      <c r="M6" s="164"/>
      <c r="N6" s="164"/>
      <c r="O6" s="164"/>
      <c r="P6" s="144"/>
      <c r="Q6" s="144"/>
      <c r="S6" s="153"/>
      <c r="T6" s="153"/>
      <c r="AB6" s="153"/>
    </row>
    <row r="7" spans="1:28" s="154" customFormat="1" ht="19.5" customHeight="1" thickBot="1">
      <c r="A7" s="144"/>
      <c r="B7" s="169" t="s">
        <v>2255</v>
      </c>
      <c r="C7" s="170"/>
      <c r="D7" s="171"/>
      <c r="E7" s="170"/>
      <c r="F7" s="170"/>
      <c r="G7" s="170"/>
      <c r="H7" s="174" t="s">
        <v>3463</v>
      </c>
      <c r="I7" s="173"/>
      <c r="J7" s="173"/>
      <c r="K7" s="173"/>
      <c r="L7" s="174" t="s">
        <v>3470</v>
      </c>
      <c r="M7" s="170"/>
      <c r="N7" s="170"/>
      <c r="O7" s="175"/>
      <c r="P7" s="144"/>
      <c r="Q7" s="144"/>
      <c r="R7" s="188" t="s">
        <v>2422</v>
      </c>
      <c r="S7" s="188" t="e">
        <f>スコア!AC8</f>
        <v>#DIV/0!</v>
      </c>
      <c r="T7" s="153"/>
      <c r="U7" s="189"/>
      <c r="V7" s="189" t="s">
        <v>2261</v>
      </c>
      <c r="W7" s="190" t="s">
        <v>2423</v>
      </c>
      <c r="X7" s="190">
        <v>4</v>
      </c>
      <c r="Y7" s="190">
        <v>2</v>
      </c>
      <c r="Z7" s="191" t="s">
        <v>2262</v>
      </c>
      <c r="AA7" s="192" t="s">
        <v>2425</v>
      </c>
      <c r="AB7" s="153"/>
    </row>
    <row r="8" spans="1:28" s="154" customFormat="1" ht="19.5" customHeight="1">
      <c r="A8" s="144"/>
      <c r="B8" s="177" t="s">
        <v>2259</v>
      </c>
      <c r="C8" s="178"/>
      <c r="D8" s="179" t="str">
        <f>メイン!C11</f>
        <v>○○ビル</v>
      </c>
      <c r="E8" s="178"/>
      <c r="F8" s="178"/>
      <c r="G8" s="180"/>
      <c r="H8" s="181" t="s">
        <v>3464</v>
      </c>
      <c r="J8" s="183" t="str">
        <f>メイン!C26</f>
        <v>○○サービス</v>
      </c>
      <c r="K8" s="184"/>
      <c r="L8" s="185"/>
      <c r="M8" s="186"/>
      <c r="N8" s="186"/>
      <c r="O8" s="187"/>
      <c r="P8" s="144"/>
      <c r="Q8" s="144"/>
      <c r="R8" s="188" t="s">
        <v>2426</v>
      </c>
      <c r="S8" s="188" t="e">
        <f>スコア!AC121</f>
        <v>#DIV/0!</v>
      </c>
      <c r="T8" s="153"/>
      <c r="U8" s="203" t="s">
        <v>2427</v>
      </c>
      <c r="V8" s="189" t="s">
        <v>752</v>
      </c>
      <c r="W8" s="190">
        <v>5</v>
      </c>
      <c r="X8" s="190">
        <v>4</v>
      </c>
      <c r="Y8" s="190">
        <v>2</v>
      </c>
      <c r="Z8" s="204" t="e">
        <f>V46</f>
        <v>#DIV/0!</v>
      </c>
      <c r="AA8" s="192">
        <v>3</v>
      </c>
      <c r="AB8" s="153"/>
    </row>
    <row r="9" spans="1:28" s="154" customFormat="1" ht="19.5" customHeight="1">
      <c r="A9" s="144"/>
      <c r="B9" s="193" t="s">
        <v>2263</v>
      </c>
      <c r="C9" s="194"/>
      <c r="D9" s="195" t="str">
        <f>メイン!C12</f>
        <v>○○県○○市</v>
      </c>
      <c r="E9" s="194"/>
      <c r="F9" s="196"/>
      <c r="H9" s="181" t="s">
        <v>3465</v>
      </c>
      <c r="J9" s="2897" t="str">
        <f>メイン!C27</f>
        <v>○○</v>
      </c>
      <c r="K9" s="196"/>
      <c r="L9" s="201"/>
      <c r="O9" s="202"/>
      <c r="P9" s="144"/>
      <c r="Q9" s="144"/>
      <c r="R9" s="191" t="s">
        <v>753</v>
      </c>
      <c r="S9" s="191" t="e">
        <f>25*(S7-1)</f>
        <v>#DIV/0!</v>
      </c>
      <c r="U9" s="203" t="s">
        <v>754</v>
      </c>
      <c r="V9" s="210" t="s">
        <v>2271</v>
      </c>
      <c r="W9" s="190">
        <v>5</v>
      </c>
      <c r="X9" s="190">
        <v>4</v>
      </c>
      <c r="Y9" s="190">
        <v>2</v>
      </c>
      <c r="Z9" s="204" t="e">
        <f>Y46</f>
        <v>#DIV/0!</v>
      </c>
      <c r="AA9" s="192">
        <v>3</v>
      </c>
    </row>
    <row r="10" spans="1:28" s="154" customFormat="1" ht="18.75" customHeight="1">
      <c r="A10" s="144"/>
      <c r="B10" s="193" t="s">
        <v>336</v>
      </c>
      <c r="C10" s="205"/>
      <c r="D10" s="195" t="str">
        <f>メイン!C14</f>
        <v>商業地域、防火地域</v>
      </c>
      <c r="E10" s="205"/>
      <c r="F10" s="205"/>
      <c r="H10" s="181" t="s">
        <v>3466</v>
      </c>
      <c r="J10" s="226">
        <f>メイン!C28</f>
        <v>41831</v>
      </c>
      <c r="K10" s="196"/>
      <c r="L10" s="207"/>
      <c r="M10" s="208"/>
      <c r="N10" s="208"/>
      <c r="O10" s="209"/>
      <c r="P10" s="144"/>
      <c r="Q10" s="144"/>
      <c r="R10" s="191" t="s">
        <v>2272</v>
      </c>
      <c r="S10" s="191" t="e">
        <f>25*(5-S8)</f>
        <v>#DIV/0!</v>
      </c>
      <c r="U10" s="203" t="s">
        <v>1840</v>
      </c>
      <c r="V10" s="217" t="s">
        <v>2273</v>
      </c>
      <c r="W10" s="190">
        <v>5</v>
      </c>
      <c r="X10" s="190">
        <v>4</v>
      </c>
      <c r="Y10" s="190">
        <v>2</v>
      </c>
      <c r="Z10" s="204" t="e">
        <f>Y57</f>
        <v>#DIV/0!</v>
      </c>
      <c r="AA10" s="192">
        <v>3</v>
      </c>
    </row>
    <row r="11" spans="1:28" s="154" customFormat="1" ht="18.75" customHeight="1">
      <c r="A11" s="144"/>
      <c r="B11" s="211" t="s">
        <v>3053</v>
      </c>
      <c r="C11" s="212"/>
      <c r="D11" s="213" t="str">
        <f>IF(メイン!F12="","",メイン!F12)</f>
        <v/>
      </c>
      <c r="E11" s="212"/>
      <c r="F11" s="214"/>
      <c r="G11" s="215"/>
      <c r="H11" s="181" t="s">
        <v>3467</v>
      </c>
      <c r="J11" s="206" t="str">
        <f>メイン!C29</f>
        <v>XXX</v>
      </c>
      <c r="K11" s="238" t="s">
        <v>3469</v>
      </c>
      <c r="L11" s="207"/>
      <c r="M11" s="208"/>
      <c r="N11" s="208"/>
      <c r="O11" s="209"/>
      <c r="P11" s="144"/>
      <c r="Q11" s="144"/>
      <c r="R11" s="191" t="s">
        <v>2277</v>
      </c>
      <c r="S11" s="191" t="e">
        <f>S9/S10</f>
        <v>#DIV/0!</v>
      </c>
      <c r="U11" s="203" t="s">
        <v>2392</v>
      </c>
      <c r="V11" s="217" t="s">
        <v>2278</v>
      </c>
      <c r="W11" s="190">
        <v>5</v>
      </c>
      <c r="X11" s="190">
        <v>4</v>
      </c>
      <c r="Y11" s="190">
        <v>2</v>
      </c>
      <c r="Z11" s="204" t="e">
        <f>V57</f>
        <v>#DIV/0!</v>
      </c>
      <c r="AA11" s="192">
        <v>3</v>
      </c>
    </row>
    <row r="12" spans="1:28" s="154" customFormat="1" ht="18.75" customHeight="1">
      <c r="A12" s="144"/>
      <c r="B12" s="218" t="s">
        <v>2274</v>
      </c>
      <c r="C12" s="219"/>
      <c r="D12" s="220" t="str">
        <f>メイン!C21</f>
        <v/>
      </c>
      <c r="E12" s="219"/>
      <c r="F12" s="219"/>
      <c r="G12" s="221"/>
      <c r="H12" s="181" t="s">
        <v>3468</v>
      </c>
      <c r="J12" s="2897" t="str">
        <f>メイン!C30</f>
        <v>地上○○F～○○F</v>
      </c>
      <c r="K12" s="196"/>
      <c r="L12" s="207"/>
      <c r="M12" s="224" t="s">
        <v>2276</v>
      </c>
      <c r="N12" s="208"/>
      <c r="O12" s="209"/>
      <c r="P12" s="144"/>
      <c r="Q12" s="144"/>
      <c r="R12" s="203" t="s">
        <v>755</v>
      </c>
      <c r="S12" s="229" t="e">
        <f>ROUNDDOWN(S11,1)</f>
        <v>#DIV/0!</v>
      </c>
      <c r="U12" s="203" t="s">
        <v>756</v>
      </c>
      <c r="V12" s="217" t="s">
        <v>757</v>
      </c>
      <c r="W12" s="190">
        <v>5</v>
      </c>
      <c r="X12" s="190">
        <v>4</v>
      </c>
      <c r="Y12" s="190">
        <v>2</v>
      </c>
      <c r="Z12" s="204" t="e">
        <f>S57</f>
        <v>#DIV/0!</v>
      </c>
      <c r="AA12" s="192">
        <v>3</v>
      </c>
    </row>
    <row r="13" spans="1:28" s="154" customFormat="1" ht="16.5" customHeight="1">
      <c r="A13" s="144"/>
      <c r="B13" s="2744" t="s">
        <v>612</v>
      </c>
      <c r="C13" s="2745"/>
      <c r="D13" s="3068" t="str">
        <f>メイン!C15</f>
        <v>201●年●月</v>
      </c>
      <c r="E13" s="3069"/>
      <c r="F13" s="2746">
        <f>メイン!F15</f>
        <v>0</v>
      </c>
      <c r="G13" s="2747"/>
      <c r="H13" s="181" t="s">
        <v>2269</v>
      </c>
      <c r="I13" s="182"/>
      <c r="J13" s="206" t="str">
        <f>メイン!C32</f>
        <v>XX</v>
      </c>
      <c r="K13" s="196" t="s">
        <v>2270</v>
      </c>
      <c r="L13" s="207"/>
      <c r="M13" s="228" t="s">
        <v>2938</v>
      </c>
      <c r="N13" s="208"/>
      <c r="O13" s="209"/>
      <c r="P13" s="144"/>
      <c r="Q13" s="144"/>
      <c r="R13" s="191" t="s">
        <v>619</v>
      </c>
      <c r="S13" s="235" t="e">
        <f>IF(AND($S$9&gt;=50,$S$11&gt;=3),1,IF(S12&lt;0.5,1,IF(S12&lt;1,2,IF(S12&lt;1.5,3,IF(S12&lt;3,4,4))))/5)</f>
        <v>#DIV/0!</v>
      </c>
      <c r="U13" s="203" t="s">
        <v>759</v>
      </c>
      <c r="V13" s="210" t="s">
        <v>616</v>
      </c>
      <c r="W13" s="190">
        <v>5</v>
      </c>
      <c r="X13" s="190">
        <v>4</v>
      </c>
      <c r="Y13" s="190">
        <v>2</v>
      </c>
      <c r="Z13" s="204" t="e">
        <f>IF(S46=0,1,S46)</f>
        <v>#DIV/0!</v>
      </c>
      <c r="AA13" s="192">
        <v>3</v>
      </c>
    </row>
    <row r="14" spans="1:28" s="154" customFormat="1" ht="14" hidden="1">
      <c r="A14" s="144"/>
      <c r="B14" s="2677" t="s">
        <v>3335</v>
      </c>
      <c r="C14" s="184"/>
      <c r="D14" s="3070" t="str">
        <f>メイン!C16</f>
        <v>2016年６月～８月</v>
      </c>
      <c r="E14" s="3071"/>
      <c r="F14" s="2687"/>
      <c r="G14" s="2687"/>
      <c r="H14" s="197" t="s">
        <v>2275</v>
      </c>
      <c r="I14" s="222"/>
      <c r="J14" s="199" t="str">
        <f>IF(メイン!E39=0,"",メイン!E39&amp;"評価")</f>
        <v/>
      </c>
      <c r="K14" s="223"/>
      <c r="L14" s="207"/>
      <c r="M14" s="228"/>
      <c r="N14" s="208"/>
      <c r="O14" s="209"/>
      <c r="P14" s="144"/>
      <c r="Q14" s="144"/>
      <c r="R14" s="191" t="s">
        <v>622</v>
      </c>
      <c r="S14" s="242" t="e">
        <f>1-S13</f>
        <v>#DIV/0!</v>
      </c>
    </row>
    <row r="15" spans="1:28" s="154" customFormat="1" ht="14">
      <c r="A15" s="144"/>
      <c r="B15" s="2748" t="s">
        <v>614</v>
      </c>
      <c r="C15" s="2749"/>
      <c r="D15" s="2750"/>
      <c r="E15" s="2751" t="str">
        <f>メイン!C17</f>
        <v>XXX</v>
      </c>
      <c r="F15" s="2746" t="s">
        <v>758</v>
      </c>
      <c r="G15" s="2747"/>
      <c r="H15" s="197" t="str">
        <f>IF(メイン!I3=3,メイン!J33,メイン!I33)</f>
        <v>年間使用時間</v>
      </c>
      <c r="I15" s="198"/>
      <c r="J15" s="216" t="str">
        <f>IF(メイン!I3=3,メイン!C34,メイン!C33)</f>
        <v>XXX</v>
      </c>
      <c r="K15" s="2752" t="str">
        <f>IF(メイン!I3=3,メイン!D34,メイン!D33)</f>
        <v>時間/年（想定値）</v>
      </c>
      <c r="L15" s="207"/>
      <c r="M15" s="228" t="s">
        <v>2939</v>
      </c>
      <c r="N15" s="208"/>
      <c r="O15" s="209"/>
      <c r="P15" s="144"/>
      <c r="Q15" s="144"/>
    </row>
    <row r="16" spans="1:28" s="154" customFormat="1" ht="18.75" customHeight="1">
      <c r="A16" s="144"/>
      <c r="B16" s="181" t="s">
        <v>617</v>
      </c>
      <c r="C16" s="230"/>
      <c r="D16" s="231"/>
      <c r="E16" s="232" t="str">
        <f>メイン!C18</f>
        <v>XXX</v>
      </c>
      <c r="F16" s="233" t="s">
        <v>760</v>
      </c>
      <c r="H16" s="181" t="s">
        <v>613</v>
      </c>
      <c r="I16" s="225"/>
      <c r="J16" s="226" t="str">
        <f>IF(メイン!C39=0,"",メイン!C39)</f>
        <v>201●年●月●日</v>
      </c>
      <c r="K16" s="227"/>
      <c r="L16" s="207"/>
      <c r="M16" s="208"/>
      <c r="N16" s="208"/>
      <c r="O16" s="209"/>
      <c r="P16" s="144"/>
      <c r="Q16" s="144"/>
      <c r="V16" s="236"/>
      <c r="Z16" s="236"/>
    </row>
    <row r="17" spans="1:28" s="154" customFormat="1" ht="14">
      <c r="A17" s="144"/>
      <c r="B17" s="181" t="s">
        <v>620</v>
      </c>
      <c r="C17" s="230"/>
      <c r="D17" s="231"/>
      <c r="E17" s="237">
        <f>メイン!J66</f>
        <v>0</v>
      </c>
      <c r="F17" s="238" t="s">
        <v>758</v>
      </c>
      <c r="H17" s="181" t="s">
        <v>615</v>
      </c>
      <c r="I17" s="225"/>
      <c r="J17" s="234" t="str">
        <f>IF(メイン!C40=0,"",メイン!C40)</f>
        <v>○○○</v>
      </c>
      <c r="K17" s="227"/>
      <c r="L17" s="207"/>
      <c r="M17" s="208"/>
      <c r="N17" s="208"/>
      <c r="O17" s="209"/>
      <c r="P17" s="144"/>
      <c r="Q17" s="144"/>
      <c r="T17" s="236"/>
      <c r="U17" s="243"/>
      <c r="V17" s="236"/>
      <c r="W17" s="236"/>
      <c r="X17" s="236"/>
      <c r="Y17" s="236"/>
      <c r="Z17" s="236"/>
      <c r="AA17" s="236"/>
      <c r="AB17" s="236"/>
    </row>
    <row r="18" spans="1:28" s="154" customFormat="1" ht="14">
      <c r="A18" s="144"/>
      <c r="B18" s="181" t="s">
        <v>2260</v>
      </c>
      <c r="C18" s="182"/>
      <c r="D18" s="183" t="str">
        <f>メイン!C22</f>
        <v>地上○○F</v>
      </c>
      <c r="E18" s="2687"/>
      <c r="F18" s="2687"/>
      <c r="G18" s="2687"/>
      <c r="H18" s="181" t="s">
        <v>618</v>
      </c>
      <c r="I18" s="225"/>
      <c r="J18" s="226" t="str">
        <f>IF(メイン!C41=0,"",メイン!C41)</f>
        <v>201●年●月●日</v>
      </c>
      <c r="K18" s="227"/>
      <c r="L18" s="207"/>
      <c r="M18" s="208"/>
      <c r="N18" s="208"/>
      <c r="O18" s="209"/>
      <c r="P18" s="144"/>
      <c r="Q18" s="144"/>
      <c r="R18" s="236"/>
      <c r="S18" s="236"/>
      <c r="T18" s="236"/>
      <c r="U18" s="236"/>
      <c r="V18" s="236"/>
      <c r="W18" s="236"/>
      <c r="X18" s="236"/>
      <c r="Y18" s="236"/>
      <c r="Z18" s="236"/>
      <c r="AA18" s="236"/>
      <c r="AB18" s="236"/>
    </row>
    <row r="19" spans="1:28" s="154" customFormat="1" ht="14.5" thickBot="1">
      <c r="A19" s="144"/>
      <c r="B19" s="197" t="s">
        <v>2264</v>
      </c>
      <c r="C19" s="198"/>
      <c r="D19" s="199">
        <f>メイン!C23</f>
        <v>0</v>
      </c>
      <c r="E19" s="2687"/>
      <c r="F19" s="2687"/>
      <c r="G19" s="2687"/>
      <c r="H19" s="181" t="s">
        <v>621</v>
      </c>
      <c r="I19" s="225"/>
      <c r="J19" s="234" t="str">
        <f>IF(メイン!C42=0,"",メイン!C42)</f>
        <v>○○○</v>
      </c>
      <c r="K19" s="227"/>
      <c r="L19" s="239"/>
      <c r="M19" s="240"/>
      <c r="N19" s="240"/>
      <c r="O19" s="241"/>
      <c r="P19" s="144"/>
      <c r="Q19" s="144"/>
      <c r="R19" s="250"/>
      <c r="S19" s="251"/>
      <c r="T19" s="236"/>
      <c r="U19" s="236"/>
      <c r="V19" s="251"/>
      <c r="W19" s="252"/>
      <c r="X19" s="236"/>
      <c r="Y19" s="236"/>
      <c r="Z19" s="236"/>
      <c r="AA19" s="236"/>
      <c r="AB19" s="236"/>
    </row>
    <row r="20" spans="1:28" s="154" customFormat="1" ht="14" hidden="1">
      <c r="A20" s="144"/>
      <c r="B20" s="2676"/>
      <c r="C20" s="182"/>
      <c r="D20" s="2678"/>
      <c r="E20" s="2687"/>
      <c r="F20" s="2687"/>
      <c r="G20" s="2687"/>
      <c r="L20" s="248"/>
      <c r="M20" s="245"/>
      <c r="N20" s="2678"/>
      <c r="O20" s="249"/>
      <c r="P20" s="144"/>
      <c r="Q20" s="144"/>
      <c r="R20" s="250"/>
      <c r="S20" s="251"/>
      <c r="T20" s="236"/>
      <c r="U20" s="236"/>
      <c r="V20" s="251"/>
      <c r="W20" s="252"/>
      <c r="X20" s="236"/>
      <c r="Y20" s="236"/>
      <c r="Z20" s="236"/>
      <c r="AA20" s="236"/>
      <c r="AB20" s="236"/>
    </row>
    <row r="21" spans="1:28" s="154" customFormat="1" ht="14.5" hidden="1" thickBot="1">
      <c r="A21" s="144"/>
      <c r="B21" s="2676"/>
      <c r="C21" s="205"/>
      <c r="D21" s="2678"/>
      <c r="E21" s="2687"/>
      <c r="F21" s="2687"/>
      <c r="G21" s="2687"/>
      <c r="H21" s="2687"/>
      <c r="I21" s="2687"/>
      <c r="J21" s="2687"/>
      <c r="K21" s="2687"/>
      <c r="L21" s="255"/>
      <c r="M21" s="256"/>
      <c r="N21" s="2678"/>
      <c r="O21" s="257"/>
      <c r="P21" s="144"/>
      <c r="Q21" s="144"/>
      <c r="R21" s="250"/>
      <c r="S21" s="251"/>
      <c r="T21" s="236"/>
      <c r="U21" s="236"/>
      <c r="V21" s="251"/>
      <c r="W21" s="252"/>
      <c r="X21" s="236"/>
      <c r="Y21" s="236"/>
      <c r="Z21" s="236"/>
      <c r="AA21" s="236"/>
      <c r="AB21" s="236"/>
    </row>
    <row r="22" spans="1:28" s="154" customFormat="1" ht="14.5" thickBot="1">
      <c r="A22" s="144"/>
      <c r="B22" s="258"/>
      <c r="C22" s="259"/>
      <c r="D22" s="258"/>
      <c r="E22" s="260"/>
      <c r="F22" s="260"/>
      <c r="G22" s="260"/>
      <c r="H22" s="260"/>
      <c r="I22" s="261"/>
      <c r="J22" s="262"/>
      <c r="K22" s="263"/>
      <c r="L22" s="260"/>
      <c r="M22" s="260"/>
      <c r="N22" s="260"/>
      <c r="O22" s="260"/>
      <c r="P22" s="144"/>
      <c r="Q22" s="144"/>
      <c r="R22" s="250"/>
      <c r="S22" s="251"/>
      <c r="T22" s="236"/>
      <c r="U22" s="236"/>
      <c r="V22" s="251"/>
      <c r="W22" s="252"/>
      <c r="X22" s="236"/>
      <c r="Y22" s="236"/>
      <c r="Z22" s="236"/>
      <c r="AA22" s="236"/>
      <c r="AB22" s="236"/>
    </row>
    <row r="23" spans="1:28" s="154" customFormat="1" ht="18" thickBot="1">
      <c r="A23" s="144"/>
      <c r="B23" s="264" t="s">
        <v>632</v>
      </c>
      <c r="C23" s="265"/>
      <c r="D23" s="266"/>
      <c r="E23" s="267"/>
      <c r="F23" s="267"/>
      <c r="G23" s="267"/>
      <c r="H23" s="267"/>
      <c r="I23" s="270"/>
      <c r="J23" s="271" t="s">
        <v>634</v>
      </c>
      <c r="K23" s="265"/>
      <c r="L23" s="265"/>
      <c r="M23" s="265"/>
      <c r="N23" s="266"/>
      <c r="O23" s="267"/>
      <c r="P23" s="144"/>
      <c r="Q23" s="144"/>
      <c r="R23" s="191" t="s">
        <v>761</v>
      </c>
      <c r="S23" s="189" t="s">
        <v>635</v>
      </c>
      <c r="T23" s="189" t="s">
        <v>636</v>
      </c>
      <c r="U23" s="189" t="s">
        <v>637</v>
      </c>
      <c r="AB23" s="236"/>
    </row>
    <row r="24" spans="1:28" s="154" customFormat="1" ht="15" customHeight="1">
      <c r="A24" s="144"/>
      <c r="B24" s="201"/>
      <c r="I24" s="274"/>
      <c r="J24" s="275"/>
      <c r="K24" s="276"/>
      <c r="L24" s="276"/>
      <c r="M24" s="276"/>
      <c r="N24" s="276"/>
      <c r="O24" s="277"/>
      <c r="R24" s="191" t="s">
        <v>638</v>
      </c>
      <c r="S24" s="204"/>
      <c r="T24" s="278" t="e">
        <f>S10</f>
        <v>#DIV/0!</v>
      </c>
      <c r="U24" s="204">
        <v>0</v>
      </c>
      <c r="V24" s="236"/>
      <c r="W24" s="189" t="s">
        <v>639</v>
      </c>
      <c r="X24" s="189"/>
      <c r="Y24" s="236"/>
      <c r="Z24" s="189" t="s">
        <v>640</v>
      </c>
      <c r="AA24" s="189"/>
      <c r="AB24" s="236"/>
    </row>
    <row r="25" spans="1:28" s="154" customFormat="1" ht="15" customHeight="1">
      <c r="A25" s="144"/>
      <c r="B25" s="279"/>
      <c r="C25" s="280" t="e">
        <f>S12</f>
        <v>#DIV/0!</v>
      </c>
      <c r="I25" s="284"/>
      <c r="J25" s="285"/>
      <c r="K25" s="276"/>
      <c r="L25" s="276"/>
      <c r="M25" s="276"/>
      <c r="N25" s="276"/>
      <c r="O25" s="277"/>
      <c r="R25" s="191" t="s">
        <v>641</v>
      </c>
      <c r="S25" s="204"/>
      <c r="T25" s="278" t="e">
        <f>S9</f>
        <v>#DIV/0!</v>
      </c>
      <c r="U25" s="204">
        <v>0</v>
      </c>
      <c r="V25" s="236"/>
      <c r="W25" s="204">
        <v>50</v>
      </c>
      <c r="X25" s="204">
        <v>50</v>
      </c>
      <c r="Y25" s="236"/>
      <c r="Z25" s="204">
        <v>0</v>
      </c>
      <c r="AA25" s="204">
        <v>100</v>
      </c>
      <c r="AB25" s="236"/>
    </row>
    <row r="26" spans="1:28" s="154" customFormat="1" ht="15" customHeight="1">
      <c r="A26" s="144"/>
      <c r="B26" s="201"/>
      <c r="I26" s="284"/>
      <c r="J26" s="285"/>
      <c r="K26" s="276"/>
      <c r="L26" s="276"/>
      <c r="M26" s="276"/>
      <c r="N26" s="276"/>
      <c r="O26" s="277"/>
      <c r="R26" s="204">
        <v>0</v>
      </c>
      <c r="S26" s="189" t="e">
        <f>T24</f>
        <v>#DIV/0!</v>
      </c>
      <c r="T26" s="286" t="e">
        <f>T24</f>
        <v>#DIV/0!</v>
      </c>
      <c r="U26" s="189">
        <v>0.1</v>
      </c>
      <c r="V26" s="236"/>
      <c r="W26" s="204">
        <v>0</v>
      </c>
      <c r="X26" s="204">
        <v>100</v>
      </c>
      <c r="Y26" s="236"/>
      <c r="Z26" s="204">
        <v>50</v>
      </c>
      <c r="AA26" s="204">
        <v>50</v>
      </c>
      <c r="AB26" s="236"/>
    </row>
    <row r="27" spans="1:28" s="154" customFormat="1" ht="15" customHeight="1">
      <c r="A27" s="144"/>
      <c r="B27" s="287"/>
      <c r="C27" s="288"/>
      <c r="D27" s="288"/>
      <c r="E27" s="288"/>
      <c r="F27" s="288"/>
      <c r="G27" s="288"/>
      <c r="H27" s="288"/>
      <c r="I27" s="292"/>
      <c r="J27" s="293"/>
      <c r="K27" s="276"/>
      <c r="L27" s="276"/>
      <c r="M27" s="276"/>
      <c r="N27" s="186"/>
      <c r="O27" s="277"/>
      <c r="R27" s="204">
        <v>0</v>
      </c>
      <c r="S27" s="189">
        <v>0</v>
      </c>
      <c r="T27" s="189" t="e">
        <f>T25</f>
        <v>#DIV/0!</v>
      </c>
      <c r="U27" s="294" t="e">
        <f>T25</f>
        <v>#DIV/0!</v>
      </c>
      <c r="V27" s="236"/>
      <c r="W27" s="236"/>
      <c r="X27" s="236"/>
      <c r="Y27" s="236"/>
      <c r="Z27" s="236"/>
      <c r="AA27" s="236"/>
      <c r="AB27" s="236"/>
    </row>
    <row r="28" spans="1:28" s="154" customFormat="1" ht="15" customHeight="1">
      <c r="A28" s="144"/>
      <c r="B28" s="201"/>
      <c r="I28" s="283"/>
      <c r="J28" s="201"/>
      <c r="O28" s="202"/>
      <c r="V28" s="236"/>
      <c r="W28" s="236"/>
      <c r="X28" s="236"/>
      <c r="Y28" s="236"/>
      <c r="Z28" s="236"/>
      <c r="AA28" s="236"/>
      <c r="AB28" s="236"/>
    </row>
    <row r="29" spans="1:28" s="154" customFormat="1" ht="15" customHeight="1">
      <c r="A29" s="144"/>
      <c r="B29" s="201"/>
      <c r="I29" s="284"/>
      <c r="J29" s="296"/>
      <c r="K29" s="297"/>
      <c r="L29" s="297"/>
      <c r="M29" s="297"/>
      <c r="N29" s="298"/>
      <c r="O29" s="299"/>
      <c r="R29" s="300" t="s">
        <v>762</v>
      </c>
      <c r="S29" s="189" t="s">
        <v>763</v>
      </c>
      <c r="T29" s="301">
        <v>0</v>
      </c>
      <c r="U29" s="301">
        <f>100/6</f>
        <v>16.666666666666668</v>
      </c>
      <c r="V29" s="302">
        <f>U29*2</f>
        <v>33.333333333333336</v>
      </c>
      <c r="W29" s="301">
        <f>U29*3</f>
        <v>50</v>
      </c>
      <c r="X29" s="301">
        <f>U29*4</f>
        <v>66.666666666666671</v>
      </c>
      <c r="Y29" s="301">
        <f>U29*5</f>
        <v>83.333333333333343</v>
      </c>
      <c r="Z29" s="301">
        <v>100</v>
      </c>
      <c r="AA29" s="236"/>
      <c r="AB29" s="236"/>
    </row>
    <row r="30" spans="1:28" s="154" customFormat="1" ht="15" customHeight="1">
      <c r="A30" s="144"/>
      <c r="B30" s="201"/>
      <c r="I30" s="284"/>
      <c r="J30" s="296"/>
      <c r="K30" s="297"/>
      <c r="L30" s="297"/>
      <c r="M30" s="297"/>
      <c r="N30" s="298"/>
      <c r="O30" s="299"/>
      <c r="R30" s="300"/>
      <c r="S30" s="189" t="s">
        <v>764</v>
      </c>
      <c r="T30" s="301">
        <v>100</v>
      </c>
      <c r="U30" s="301">
        <v>100</v>
      </c>
      <c r="V30" s="301">
        <v>100</v>
      </c>
      <c r="W30" s="301">
        <v>100</v>
      </c>
      <c r="X30" s="301">
        <v>100</v>
      </c>
      <c r="Y30" s="301">
        <v>100</v>
      </c>
      <c r="Z30" s="301">
        <v>100</v>
      </c>
      <c r="AA30" s="236"/>
      <c r="AB30" s="236"/>
    </row>
    <row r="31" spans="1:28" s="154" customFormat="1" ht="15" customHeight="1">
      <c r="A31" s="144"/>
      <c r="B31" s="201"/>
      <c r="I31" s="284"/>
      <c r="J31" s="303"/>
      <c r="K31" s="304"/>
      <c r="L31" s="304"/>
      <c r="M31" s="304"/>
      <c r="N31" s="305"/>
      <c r="O31" s="306"/>
      <c r="R31" s="300">
        <v>3</v>
      </c>
      <c r="S31" s="189" t="s">
        <v>765</v>
      </c>
      <c r="T31" s="301">
        <v>50</v>
      </c>
      <c r="U31" s="301">
        <f t="shared" ref="U31:X34" si="0">U$29*$R31</f>
        <v>50</v>
      </c>
      <c r="V31" s="301">
        <f t="shared" si="0"/>
        <v>100</v>
      </c>
      <c r="W31" s="301">
        <v>100</v>
      </c>
      <c r="X31" s="301">
        <v>100</v>
      </c>
      <c r="Y31" s="301">
        <v>100</v>
      </c>
      <c r="Z31" s="301">
        <v>100</v>
      </c>
      <c r="AA31" s="236"/>
      <c r="AB31" s="236"/>
    </row>
    <row r="32" spans="1:28" s="154" customFormat="1" ht="15" customHeight="1">
      <c r="A32" s="144"/>
      <c r="B32" s="201"/>
      <c r="I32" s="284"/>
      <c r="J32" s="296"/>
      <c r="K32" s="297"/>
      <c r="L32" s="297"/>
      <c r="M32" s="297"/>
      <c r="N32" s="298"/>
      <c r="O32" s="299"/>
      <c r="R32" s="300">
        <v>1.5</v>
      </c>
      <c r="S32" s="189" t="s">
        <v>766</v>
      </c>
      <c r="T32" s="301">
        <v>0</v>
      </c>
      <c r="U32" s="301">
        <f t="shared" si="0"/>
        <v>25</v>
      </c>
      <c r="V32" s="301">
        <f t="shared" si="0"/>
        <v>50</v>
      </c>
      <c r="W32" s="301">
        <f t="shared" si="0"/>
        <v>75</v>
      </c>
      <c r="X32" s="301">
        <f t="shared" si="0"/>
        <v>100</v>
      </c>
      <c r="Y32" s="301">
        <v>100</v>
      </c>
      <c r="Z32" s="301">
        <v>100</v>
      </c>
      <c r="AA32" s="236"/>
      <c r="AB32" s="236"/>
    </row>
    <row r="33" spans="1:35" s="154" customFormat="1" ht="15" customHeight="1">
      <c r="A33" s="144"/>
      <c r="B33" s="201"/>
      <c r="I33" s="284"/>
      <c r="J33" s="296"/>
      <c r="K33" s="297"/>
      <c r="L33" s="297"/>
      <c r="M33" s="297"/>
      <c r="N33" s="298"/>
      <c r="O33" s="299"/>
      <c r="R33" s="300">
        <v>1</v>
      </c>
      <c r="S33" s="189" t="s">
        <v>767</v>
      </c>
      <c r="T33" s="301">
        <v>0</v>
      </c>
      <c r="U33" s="301">
        <f t="shared" si="0"/>
        <v>16.666666666666668</v>
      </c>
      <c r="V33" s="301">
        <f t="shared" si="0"/>
        <v>33.333333333333336</v>
      </c>
      <c r="W33" s="301">
        <f t="shared" si="0"/>
        <v>50</v>
      </c>
      <c r="X33" s="301">
        <f t="shared" si="0"/>
        <v>66.666666666666671</v>
      </c>
      <c r="Y33" s="301">
        <f>Y$29*$R33</f>
        <v>83.333333333333343</v>
      </c>
      <c r="Z33" s="301">
        <f>Z$29*$R33</f>
        <v>100</v>
      </c>
      <c r="AA33" s="236"/>
      <c r="AB33" s="236"/>
    </row>
    <row r="34" spans="1:35" s="154" customFormat="1" ht="15" customHeight="1">
      <c r="A34" s="144"/>
      <c r="B34" s="201"/>
      <c r="I34" s="284"/>
      <c r="J34" s="296"/>
      <c r="K34" s="297"/>
      <c r="L34" s="297"/>
      <c r="M34" s="297"/>
      <c r="N34" s="298"/>
      <c r="O34" s="299"/>
      <c r="R34" s="300">
        <v>0.5</v>
      </c>
      <c r="S34" s="189" t="s">
        <v>768</v>
      </c>
      <c r="T34" s="301">
        <v>0</v>
      </c>
      <c r="U34" s="301">
        <f t="shared" si="0"/>
        <v>8.3333333333333339</v>
      </c>
      <c r="V34" s="301">
        <f t="shared" si="0"/>
        <v>16.666666666666668</v>
      </c>
      <c r="W34" s="301">
        <f t="shared" si="0"/>
        <v>25</v>
      </c>
      <c r="X34" s="301">
        <f t="shared" si="0"/>
        <v>33.333333333333336</v>
      </c>
      <c r="Y34" s="301">
        <f>Y$29*$R34</f>
        <v>41.666666666666671</v>
      </c>
      <c r="Z34" s="301">
        <f>Z$29*$R34</f>
        <v>50</v>
      </c>
      <c r="AA34" s="236"/>
      <c r="AB34" s="236"/>
    </row>
    <row r="35" spans="1:35" s="154" customFormat="1" ht="15" customHeight="1">
      <c r="A35" s="144"/>
      <c r="B35" s="201"/>
      <c r="I35" s="284"/>
      <c r="J35" s="296"/>
      <c r="K35" s="276"/>
      <c r="L35" s="276"/>
      <c r="M35" s="276"/>
      <c r="N35" s="276"/>
      <c r="O35" s="277"/>
      <c r="R35" s="307"/>
      <c r="S35" s="243"/>
      <c r="T35" s="308"/>
      <c r="U35" s="308"/>
      <c r="V35" s="308"/>
      <c r="W35" s="308"/>
      <c r="X35" s="308"/>
      <c r="Y35" s="308"/>
      <c r="Z35" s="308"/>
      <c r="AA35" s="236"/>
      <c r="AB35" s="236"/>
    </row>
    <row r="36" spans="1:35" s="154" customFormat="1" ht="15" customHeight="1">
      <c r="A36" s="247"/>
      <c r="B36" s="201"/>
      <c r="I36" s="311"/>
      <c r="J36" s="296"/>
      <c r="K36" s="276"/>
      <c r="L36" s="276"/>
      <c r="M36" s="276"/>
      <c r="N36" s="312"/>
      <c r="O36" s="277"/>
      <c r="R36" s="191" t="s">
        <v>769</v>
      </c>
      <c r="S36" s="235" t="e">
        <f>IF(T36&lt;=0.3,1,IF(T36&lt;=0.6,0.8,IF(T36&lt;=0.8,0.6,IF(T36&lt;=1,0.4,0.2))))</f>
        <v>#DIV/0!</v>
      </c>
      <c r="T36" s="308" t="e">
        <f>IF(U36=W36,X42,X43)</f>
        <v>#DIV/0!</v>
      </c>
      <c r="U36" s="313" t="str">
        <f>メイン!C43</f>
        <v>標準計算</v>
      </c>
      <c r="V36" s="314" t="s">
        <v>770</v>
      </c>
      <c r="W36" s="313" t="s">
        <v>456</v>
      </c>
      <c r="X36" s="313" t="s">
        <v>642</v>
      </c>
      <c r="Y36" s="308"/>
      <c r="Z36" s="308"/>
      <c r="AA36" s="236"/>
      <c r="AB36" s="236"/>
    </row>
    <row r="37" spans="1:35" s="154" customFormat="1" ht="15" customHeight="1">
      <c r="A37" s="247"/>
      <c r="B37" s="201"/>
      <c r="I37" s="311"/>
      <c r="J37" s="296"/>
      <c r="K37" s="276"/>
      <c r="L37" s="276"/>
      <c r="M37" s="276"/>
      <c r="N37" s="315"/>
      <c r="O37" s="277"/>
      <c r="R37" s="191" t="s">
        <v>1433</v>
      </c>
      <c r="S37" s="242" t="e">
        <f>1-S36</f>
        <v>#DIV/0!</v>
      </c>
      <c r="T37" s="308"/>
      <c r="U37" s="313" t="s">
        <v>2113</v>
      </c>
      <c r="V37" s="308" t="str">
        <f>IF(U36=W37,V36,"")</f>
        <v/>
      </c>
      <c r="W37" s="313" t="s">
        <v>458</v>
      </c>
      <c r="X37" s="313" t="s">
        <v>725</v>
      </c>
      <c r="Y37" s="308"/>
      <c r="Z37" s="308"/>
      <c r="AA37" s="236"/>
      <c r="AB37" s="236"/>
    </row>
    <row r="38" spans="1:35" s="154" customFormat="1" ht="15" customHeight="1">
      <c r="A38" s="247"/>
      <c r="B38" s="201"/>
      <c r="C38" s="316"/>
      <c r="I38" s="311"/>
      <c r="J38" s="293"/>
      <c r="K38" s="317"/>
      <c r="L38" s="317"/>
      <c r="M38" s="317"/>
      <c r="N38" s="276"/>
      <c r="O38" s="277"/>
      <c r="AA38" s="236"/>
      <c r="AB38" s="236"/>
    </row>
    <row r="39" spans="1:35" s="154" customFormat="1" ht="15" customHeight="1" thickBot="1">
      <c r="A39" s="247"/>
      <c r="B39" s="318"/>
      <c r="C39" s="253"/>
      <c r="D39" s="253"/>
      <c r="E39" s="253"/>
      <c r="F39" s="253"/>
      <c r="G39" s="253"/>
      <c r="H39" s="253"/>
      <c r="I39" s="2898"/>
      <c r="J39" s="319"/>
      <c r="K39" s="320"/>
      <c r="L39" s="320"/>
      <c r="M39" s="320"/>
      <c r="N39" s="321"/>
      <c r="O39" s="322"/>
      <c r="R39" s="323" t="s">
        <v>1434</v>
      </c>
      <c r="S39" s="324" t="s">
        <v>726</v>
      </c>
      <c r="T39" s="324" t="s">
        <v>727</v>
      </c>
      <c r="U39" s="324" t="s">
        <v>728</v>
      </c>
      <c r="V39" s="324" t="s">
        <v>1435</v>
      </c>
      <c r="W39" s="324" t="s">
        <v>1436</v>
      </c>
      <c r="X39" s="324" t="s">
        <v>1437</v>
      </c>
      <c r="Y39" s="188" t="s">
        <v>1438</v>
      </c>
      <c r="AA39" s="313"/>
    </row>
    <row r="40" spans="1:35" s="154" customFormat="1" ht="18" customHeight="1" thickBot="1">
      <c r="A40" s="144"/>
      <c r="B40" s="325" t="s">
        <v>1439</v>
      </c>
      <c r="C40" s="326"/>
      <c r="D40" s="327"/>
      <c r="E40" s="326"/>
      <c r="F40" s="326"/>
      <c r="G40" s="326"/>
      <c r="H40" s="328"/>
      <c r="I40" s="329"/>
      <c r="J40" s="326"/>
      <c r="K40" s="326"/>
      <c r="L40" s="326"/>
      <c r="M40" s="330"/>
      <c r="N40" s="330"/>
      <c r="O40" s="331"/>
      <c r="P40" s="144"/>
      <c r="Q40" s="144"/>
      <c r="R40" s="188" t="s">
        <v>729</v>
      </c>
      <c r="S40" s="332">
        <f>IF($U$36=$W$36,'条件(標準)'!$D9,'条件(個別)'!$D9)</f>
        <v>0</v>
      </c>
      <c r="T40" s="332">
        <f>IF($U$36=$W$36,'条件(標準)'!$D34,'条件(個別)'!$D34)</f>
        <v>0</v>
      </c>
      <c r="U40" s="332">
        <f>IF($U$36=$W$36,'条件(標準)'!$D46,'条件(個別)'!$D46)</f>
        <v>0</v>
      </c>
      <c r="V40" s="333"/>
      <c r="W40" s="333"/>
      <c r="X40" s="334">
        <v>1</v>
      </c>
      <c r="Y40" s="188">
        <f>IF(COUNTIF(S40:W40,Z41)&gt;0,Z41,SUM(S40:W40))</f>
        <v>0</v>
      </c>
      <c r="AA40" s="335"/>
    </row>
    <row r="41" spans="1:35" s="154" customFormat="1" ht="17.5">
      <c r="A41" s="144"/>
      <c r="B41" s="336" t="s">
        <v>730</v>
      </c>
      <c r="C41" s="337"/>
      <c r="D41" s="337"/>
      <c r="E41" s="338"/>
      <c r="F41" s="337"/>
      <c r="G41" s="337"/>
      <c r="H41" s="337"/>
      <c r="I41" s="337"/>
      <c r="J41" s="337"/>
      <c r="K41" s="339"/>
      <c r="L41" s="340"/>
      <c r="M41" s="341" t="s">
        <v>731</v>
      </c>
      <c r="N41" s="342" t="e">
        <f>スコア!T8</f>
        <v>#DIV/0!</v>
      </c>
      <c r="O41" s="343"/>
      <c r="P41" s="144"/>
      <c r="Q41" s="144"/>
      <c r="R41" s="188" t="s">
        <v>732</v>
      </c>
      <c r="S41" s="332">
        <f>IF($U$36=$W$36,'条件(標準)'!$E9,'条件(個別)'!$E9)</f>
        <v>0</v>
      </c>
      <c r="T41" s="332">
        <f>IF($U$36=$W$36,'条件(標準)'!$E34,'条件(個別)'!$E34)</f>
        <v>0</v>
      </c>
      <c r="U41" s="332">
        <f>IF($U$36=$W$36,'条件(標準)'!$E46,'条件(個別)'!$E46)</f>
        <v>0</v>
      </c>
      <c r="V41" s="333"/>
      <c r="W41" s="333"/>
      <c r="X41" s="334" t="e">
        <f>IF(OR(Y40=Z41,Y41=Z41),Z41,Y41/Y40)</f>
        <v>#DIV/0!</v>
      </c>
      <c r="Y41" s="188">
        <f>IF(COUNTIF(S41:W41,Z41)&gt;0,Z41,SUM(S41:W41))</f>
        <v>0</v>
      </c>
      <c r="Z41" s="154" t="str">
        <f>CO2計算!R115</f>
        <v>N.A.</v>
      </c>
      <c r="AA41" s="335"/>
    </row>
    <row r="42" spans="1:35" s="154" customFormat="1" ht="14">
      <c r="A42" s="144"/>
      <c r="B42" s="201"/>
      <c r="C42" s="344" t="str">
        <f>スコア!B9&amp;" "&amp;スコア!C9</f>
        <v>Q1 室内環境</v>
      </c>
      <c r="D42" s="345"/>
      <c r="E42" s="345"/>
      <c r="F42" s="345"/>
      <c r="G42" s="345"/>
      <c r="H42" s="345" t="str">
        <f>"     "&amp;スコア!B62&amp;" "&amp;スコア!C62</f>
        <v xml:space="preserve">     Q2 サービス性能</v>
      </c>
      <c r="I42" s="345"/>
      <c r="J42" s="247"/>
      <c r="K42" s="247"/>
      <c r="L42" s="346" t="str">
        <f>スコア!B112&amp;" "&amp;スコア!C112</f>
        <v>Q3 室外環境（敷地内）</v>
      </c>
      <c r="M42" s="346"/>
      <c r="N42" s="247"/>
      <c r="O42" s="249"/>
      <c r="P42" s="144"/>
      <c r="Q42" s="144"/>
      <c r="R42" s="188" t="s">
        <v>733</v>
      </c>
      <c r="S42" s="332"/>
      <c r="T42" s="332"/>
      <c r="U42" s="332"/>
      <c r="V42" s="347">
        <f>IF($U$36=$W$36,'条件(標準)'!E9+'条件(標準)'!E34+'条件(標準)'!E47,'条件(個別)'!E9+'条件(個別)'!E34+'条件(個別)'!E47)</f>
        <v>0</v>
      </c>
      <c r="W42" s="333"/>
      <c r="X42" s="334" t="e">
        <f>IF(OR(Y40=Z42,Y42=Z42),Z42,Y42/Y40)</f>
        <v>#DIV/0!</v>
      </c>
      <c r="Y42" s="188">
        <f>IF(COUNTIF(S42:W42,Z42)&gt;0,Z42,SUM(S42:W42))</f>
        <v>0</v>
      </c>
      <c r="Z42" s="154" t="str">
        <f>CO2計算!R115</f>
        <v>N.A.</v>
      </c>
      <c r="AA42" s="335"/>
    </row>
    <row r="43" spans="1:35" s="154" customFormat="1" ht="15" customHeight="1">
      <c r="A43" s="144"/>
      <c r="B43" s="201"/>
      <c r="C43" s="348"/>
      <c r="D43" s="349"/>
      <c r="E43" s="350"/>
      <c r="G43" s="345" t="e">
        <f>S46</f>
        <v>#DIV/0!</v>
      </c>
      <c r="I43" s="350"/>
      <c r="K43" s="345" t="e">
        <f>V46</f>
        <v>#DIV/0!</v>
      </c>
      <c r="M43" s="351"/>
      <c r="N43" s="350"/>
      <c r="O43" s="352" t="e">
        <f>Y46</f>
        <v>#DIV/0!</v>
      </c>
      <c r="P43" s="144"/>
      <c r="Q43" s="144"/>
      <c r="R43" s="188" t="s">
        <v>734</v>
      </c>
      <c r="S43" s="332"/>
      <c r="T43" s="332"/>
      <c r="U43" s="332"/>
      <c r="V43" s="347"/>
      <c r="W43" s="353">
        <f>IF($U$36=$W$36,'条件(標準)'!E9+'条件(標準)'!E34+'条件(標準)'!E52,'条件(個別)'!E9+'条件(個別)'!E34+'条件(個別)'!E52)</f>
        <v>0</v>
      </c>
      <c r="X43" s="334" t="e">
        <f>IF(OR(Y40=Z43,Y43=Z43),Z43,Y43/Y40)</f>
        <v>#DIV/0!</v>
      </c>
      <c r="Y43" s="188">
        <f>IF(COUNTIF(S43:W43,Z43)&gt;0,Z43,SUM(S43:W43))</f>
        <v>0</v>
      </c>
      <c r="Z43" s="154" t="str">
        <f>CO2計算!R115</f>
        <v>N.A.</v>
      </c>
      <c r="AA43" s="335"/>
    </row>
    <row r="44" spans="1:35" s="154" customFormat="1" ht="15" customHeight="1">
      <c r="A44" s="144"/>
      <c r="B44" s="201"/>
      <c r="G44" s="165"/>
      <c r="H44" s="165"/>
      <c r="I44" s="166"/>
      <c r="J44" s="166"/>
      <c r="K44" s="165"/>
      <c r="L44" s="247"/>
      <c r="M44" s="247"/>
      <c r="N44" s="247"/>
      <c r="O44" s="249"/>
      <c r="P44" s="144"/>
      <c r="Q44" s="144"/>
      <c r="AA44" s="236"/>
      <c r="AB44" s="236"/>
      <c r="AC44" s="354"/>
      <c r="AF44" s="354"/>
      <c r="AG44" s="354"/>
      <c r="AI44" s="354"/>
    </row>
    <row r="45" spans="1:35" s="154" customFormat="1" ht="15" customHeight="1">
      <c r="A45" s="144"/>
      <c r="B45" s="201"/>
      <c r="G45" s="165"/>
      <c r="H45" s="165"/>
      <c r="I45" s="166"/>
      <c r="J45" s="166"/>
      <c r="K45" s="165"/>
      <c r="L45" s="247"/>
      <c r="M45" s="247"/>
      <c r="N45" s="247"/>
      <c r="O45" s="249"/>
      <c r="P45" s="144"/>
      <c r="Q45" s="144"/>
      <c r="R45" s="191"/>
      <c r="S45" s="191" t="s">
        <v>2262</v>
      </c>
      <c r="T45" s="191" t="s">
        <v>735</v>
      </c>
      <c r="U45" s="191"/>
      <c r="V45" s="191" t="s">
        <v>2262</v>
      </c>
      <c r="W45" s="191" t="s">
        <v>735</v>
      </c>
      <c r="X45" s="191"/>
      <c r="Y45" s="191" t="s">
        <v>2262</v>
      </c>
      <c r="Z45" s="191" t="s">
        <v>735</v>
      </c>
      <c r="AA45" s="236"/>
      <c r="AB45" s="236"/>
    </row>
    <row r="46" spans="1:35" s="154" customFormat="1" ht="15" customHeight="1">
      <c r="A46" s="144"/>
      <c r="B46" s="201"/>
      <c r="G46" s="165"/>
      <c r="H46" s="165"/>
      <c r="I46" s="166"/>
      <c r="J46" s="166"/>
      <c r="K46" s="165"/>
      <c r="L46" s="247"/>
      <c r="M46" s="247"/>
      <c r="N46" s="247"/>
      <c r="O46" s="249"/>
      <c r="P46" s="144"/>
      <c r="Q46" s="144"/>
      <c r="R46" s="355" t="s">
        <v>941</v>
      </c>
      <c r="S46" s="356" t="e">
        <f>スコア!T9</f>
        <v>#DIV/0!</v>
      </c>
      <c r="T46" s="191" t="e">
        <f>スコア!AC9</f>
        <v>#DIV/0!</v>
      </c>
      <c r="U46" s="189" t="s">
        <v>1440</v>
      </c>
      <c r="V46" s="357" t="e">
        <f>スコア!T62</f>
        <v>#DIV/0!</v>
      </c>
      <c r="W46" s="191" t="e">
        <f>スコア!AC62</f>
        <v>#DIV/0!</v>
      </c>
      <c r="X46" s="355" t="s">
        <v>942</v>
      </c>
      <c r="Y46" s="357" t="e">
        <f>スコア!T112</f>
        <v>#DIV/0!</v>
      </c>
      <c r="Z46" s="191" t="e">
        <f>スコア!AC112</f>
        <v>#DIV/0!</v>
      </c>
      <c r="AA46" s="236"/>
      <c r="AB46" s="236"/>
    </row>
    <row r="47" spans="1:35" s="154" customFormat="1" ht="15" customHeight="1">
      <c r="A47" s="144"/>
      <c r="B47" s="201"/>
      <c r="G47" s="165"/>
      <c r="H47" s="165"/>
      <c r="I47" s="166"/>
      <c r="J47" s="166"/>
      <c r="K47" s="165"/>
      <c r="L47" s="247"/>
      <c r="M47" s="247"/>
      <c r="N47" s="247"/>
      <c r="O47" s="249"/>
      <c r="P47" s="144"/>
      <c r="Q47" s="144"/>
      <c r="AA47" s="236"/>
      <c r="AB47" s="236"/>
    </row>
    <row r="48" spans="1:35" s="154" customFormat="1" ht="15" customHeight="1">
      <c r="A48" s="144"/>
      <c r="B48" s="201"/>
      <c r="G48" s="165"/>
      <c r="H48" s="165"/>
      <c r="I48" s="166"/>
      <c r="J48" s="166"/>
      <c r="K48" s="165"/>
      <c r="L48" s="247"/>
      <c r="M48" s="247"/>
      <c r="N48" s="247"/>
      <c r="O48" s="249"/>
      <c r="P48" s="144"/>
      <c r="Q48" s="144"/>
      <c r="R48" s="191"/>
      <c r="S48" s="191" t="s">
        <v>1441</v>
      </c>
      <c r="T48" s="191" t="s">
        <v>1442</v>
      </c>
      <c r="U48" s="191"/>
      <c r="V48" s="191" t="s">
        <v>1441</v>
      </c>
      <c r="W48" s="191" t="s">
        <v>1442</v>
      </c>
      <c r="X48" s="191"/>
      <c r="Y48" s="358" t="s">
        <v>1441</v>
      </c>
      <c r="Z48" s="191" t="s">
        <v>1442</v>
      </c>
      <c r="AA48" s="236"/>
      <c r="AB48" s="236"/>
    </row>
    <row r="49" spans="1:28" s="154" customFormat="1" ht="15" customHeight="1">
      <c r="A49" s="144"/>
      <c r="B49" s="201"/>
      <c r="G49" s="359"/>
      <c r="H49" s="359"/>
      <c r="I49" s="166"/>
      <c r="J49" s="166"/>
      <c r="K49" s="165"/>
      <c r="L49" s="247"/>
      <c r="M49" s="247"/>
      <c r="N49" s="247"/>
      <c r="O49" s="249"/>
      <c r="P49" s="144"/>
      <c r="Q49" s="144"/>
      <c r="R49" s="360" t="s">
        <v>943</v>
      </c>
      <c r="S49" s="356" t="e">
        <f>スコア!T10</f>
        <v>#DIV/0!</v>
      </c>
      <c r="T49" s="191" t="e">
        <f>IF(S49=0,"N.A.","")</f>
        <v>#DIV/0!</v>
      </c>
      <c r="U49" s="189" t="s">
        <v>944</v>
      </c>
      <c r="V49" s="357" t="e">
        <f>スコア!T63</f>
        <v>#DIV/0!</v>
      </c>
      <c r="W49" s="191" t="e">
        <f>IF(V49=0,"N.A.","")</f>
        <v>#DIV/0!</v>
      </c>
      <c r="X49" s="2899" t="s">
        <v>3471</v>
      </c>
      <c r="Y49" s="357" t="e">
        <f>スコア!T114</f>
        <v>#DIV/0!</v>
      </c>
      <c r="Z49" s="191" t="e">
        <f>IF(Y49=0,"N.A.","")</f>
        <v>#DIV/0!</v>
      </c>
      <c r="AA49" s="236"/>
      <c r="AB49" s="236"/>
    </row>
    <row r="50" spans="1:28" s="154" customFormat="1" ht="15" customHeight="1">
      <c r="A50" s="247"/>
      <c r="B50" s="201"/>
      <c r="G50" s="359"/>
      <c r="H50" s="359"/>
      <c r="I50" s="166"/>
      <c r="J50" s="166"/>
      <c r="K50" s="165"/>
      <c r="L50" s="247"/>
      <c r="M50" s="247"/>
      <c r="N50" s="247"/>
      <c r="O50" s="249"/>
      <c r="P50" s="247"/>
      <c r="Q50" s="144"/>
      <c r="R50" s="360" t="s">
        <v>946</v>
      </c>
      <c r="S50" s="356" t="e">
        <f>スコア!T20</f>
        <v>#DIV/0!</v>
      </c>
      <c r="T50" s="191" t="e">
        <f>IF(S50=0,"N.A.","")</f>
        <v>#DIV/0!</v>
      </c>
      <c r="U50" s="189" t="s">
        <v>947</v>
      </c>
      <c r="V50" s="357" t="e">
        <f>スコア!T78</f>
        <v>#DIV/0!</v>
      </c>
      <c r="W50" s="191" t="e">
        <f>IF(V50=0,"N.A.","")</f>
        <v>#DIV/0!</v>
      </c>
      <c r="X50" s="360"/>
      <c r="Y50" s="357">
        <f>スコア!T116</f>
        <v>3</v>
      </c>
      <c r="Z50" s="191" t="str">
        <f>IF(Y50=0,"N.A.","")</f>
        <v/>
      </c>
      <c r="AA50" s="236"/>
      <c r="AB50" s="236"/>
    </row>
    <row r="51" spans="1:28" s="154" customFormat="1" ht="15" customHeight="1">
      <c r="A51" s="247"/>
      <c r="B51" s="201"/>
      <c r="G51" s="361"/>
      <c r="H51" s="362"/>
      <c r="I51" s="363"/>
      <c r="J51" s="363"/>
      <c r="K51" s="364"/>
      <c r="L51" s="365"/>
      <c r="M51" s="365"/>
      <c r="N51" s="365"/>
      <c r="O51" s="366"/>
      <c r="P51" s="247"/>
      <c r="Q51" s="144"/>
      <c r="R51" s="360" t="s">
        <v>948</v>
      </c>
      <c r="S51" s="356" t="e">
        <f>スコア!T35</f>
        <v>#DIV/0!</v>
      </c>
      <c r="T51" s="191" t="e">
        <f>IF(S51=0,"N.A.","")</f>
        <v>#DIV/0!</v>
      </c>
      <c r="U51" s="189" t="s">
        <v>949</v>
      </c>
      <c r="V51" s="357" t="e">
        <f>スコア!T100</f>
        <v>#DIV/0!</v>
      </c>
      <c r="W51" s="191" t="e">
        <f>IF(V51=0,"N.A.","")</f>
        <v>#DIV/0!</v>
      </c>
      <c r="X51" s="360"/>
      <c r="Y51" s="357" t="e">
        <f>スコア!T117</f>
        <v>#DIV/0!</v>
      </c>
      <c r="Z51" s="191" t="e">
        <f>IF(Y51=0,"N.A.","")</f>
        <v>#DIV/0!</v>
      </c>
      <c r="AA51" s="236"/>
      <c r="AB51" s="236"/>
    </row>
    <row r="52" spans="1:28" s="154" customFormat="1" ht="18" customHeight="1">
      <c r="A52" s="367"/>
      <c r="B52" s="368" t="s">
        <v>1444</v>
      </c>
      <c r="C52" s="369"/>
      <c r="D52" s="370"/>
      <c r="E52" s="369"/>
      <c r="F52" s="369"/>
      <c r="G52" s="369"/>
      <c r="H52" s="337"/>
      <c r="I52" s="337"/>
      <c r="J52" s="337"/>
      <c r="K52" s="339"/>
      <c r="L52" s="340"/>
      <c r="M52" s="341" t="s">
        <v>1445</v>
      </c>
      <c r="N52" s="371" t="e">
        <f>スコア!T121</f>
        <v>#DIV/0!</v>
      </c>
      <c r="O52" s="343"/>
      <c r="P52" s="144"/>
      <c r="Q52" s="144"/>
      <c r="R52" s="360" t="s">
        <v>89</v>
      </c>
      <c r="S52" s="356" t="e">
        <f>スコア!T48</f>
        <v>#DIV/0!</v>
      </c>
      <c r="T52" s="191" t="e">
        <f>IF(S52=0,"N.A.","")</f>
        <v>#DIV/0!</v>
      </c>
      <c r="U52" s="236"/>
      <c r="V52" s="236"/>
      <c r="W52" s="236"/>
      <c r="X52" s="236"/>
      <c r="Y52" s="236"/>
      <c r="Z52" s="236"/>
      <c r="AA52" s="236"/>
      <c r="AB52" s="236"/>
    </row>
    <row r="53" spans="1:28" s="154" customFormat="1" ht="14">
      <c r="A53" s="144"/>
      <c r="B53" s="372"/>
      <c r="C53" s="346" t="str">
        <f>スコア!B122&amp;" "&amp;スコア!C122</f>
        <v>LR1 エネルギー</v>
      </c>
      <c r="D53" s="346"/>
      <c r="E53" s="373"/>
      <c r="F53" s="346"/>
      <c r="G53" s="346"/>
      <c r="H53" s="346" t="str">
        <f>"     "&amp;スコア!B145&amp;" "&amp;スコア!C145</f>
        <v xml:space="preserve">     LR2 資源・マテリアル</v>
      </c>
      <c r="I53" s="346"/>
      <c r="J53" s="346"/>
      <c r="K53" s="346"/>
      <c r="L53" s="344" t="str">
        <f>スコア!B172&amp;" "&amp;スコア!C172</f>
        <v>LR3 敷地外環境</v>
      </c>
      <c r="M53" s="346"/>
      <c r="N53" s="346"/>
      <c r="O53" s="374"/>
      <c r="P53" s="144"/>
      <c r="Q53" s="144"/>
      <c r="R53" s="236"/>
      <c r="S53" s="236"/>
      <c r="T53" s="191"/>
      <c r="U53" s="236"/>
      <c r="V53" s="236"/>
      <c r="W53" s="236"/>
      <c r="X53" s="236"/>
      <c r="Y53" s="236"/>
      <c r="Z53" s="236"/>
      <c r="AA53" s="236"/>
      <c r="AB53" s="236"/>
    </row>
    <row r="54" spans="1:28" s="154" customFormat="1" ht="14">
      <c r="A54" s="247"/>
      <c r="B54" s="375"/>
      <c r="C54" s="348"/>
      <c r="D54" s="349"/>
      <c r="E54" s="350"/>
      <c r="G54" s="345" t="e">
        <f>S57</f>
        <v>#DIV/0!</v>
      </c>
      <c r="I54" s="350"/>
      <c r="K54" s="345" t="e">
        <f>V57</f>
        <v>#DIV/0!</v>
      </c>
      <c r="L54" s="350"/>
      <c r="N54" s="376"/>
      <c r="O54" s="352" t="e">
        <f>Y57</f>
        <v>#DIV/0!</v>
      </c>
      <c r="P54" s="247"/>
      <c r="Q54" s="144"/>
      <c r="R54" s="236" t="e">
        <f>IF(S49=0,"N.A.","")</f>
        <v>#DIV/0!</v>
      </c>
      <c r="S54" s="236"/>
      <c r="T54" s="236"/>
      <c r="U54" s="236"/>
      <c r="V54" s="236"/>
      <c r="W54" s="236"/>
      <c r="X54" s="236"/>
      <c r="Y54" s="236"/>
      <c r="Z54" s="236"/>
      <c r="AA54" s="236"/>
      <c r="AB54" s="236"/>
    </row>
    <row r="55" spans="1:28" s="154" customFormat="1" ht="14">
      <c r="A55" s="247"/>
      <c r="B55" s="375"/>
      <c r="C55" s="377"/>
      <c r="D55" s="377"/>
      <c r="E55" s="378"/>
      <c r="F55" s="361"/>
      <c r="G55" s="361"/>
      <c r="H55" s="361"/>
      <c r="I55" s="166"/>
      <c r="J55" s="166"/>
      <c r="K55" s="165"/>
      <c r="L55" s="165"/>
      <c r="M55" s="186"/>
      <c r="N55" s="186"/>
      <c r="O55" s="187"/>
      <c r="P55" s="247"/>
      <c r="Q55" s="144"/>
      <c r="AA55" s="236"/>
      <c r="AB55" s="236"/>
    </row>
    <row r="56" spans="1:28" s="154" customFormat="1" ht="15.75" customHeight="1">
      <c r="A56" s="144"/>
      <c r="B56" s="375"/>
      <c r="C56" s="186"/>
      <c r="D56" s="379"/>
      <c r="E56" s="164"/>
      <c r="F56" s="165"/>
      <c r="G56" s="165"/>
      <c r="H56" s="165"/>
      <c r="I56" s="380"/>
      <c r="J56" s="166"/>
      <c r="K56" s="165"/>
      <c r="L56" s="165"/>
      <c r="M56" s="186"/>
      <c r="N56" s="186"/>
      <c r="O56" s="187"/>
      <c r="P56" s="144"/>
      <c r="Q56" s="144"/>
      <c r="R56" s="191"/>
      <c r="S56" s="191" t="s">
        <v>1446</v>
      </c>
      <c r="T56" s="191" t="s">
        <v>1447</v>
      </c>
      <c r="U56" s="191"/>
      <c r="V56" s="191" t="s">
        <v>1446</v>
      </c>
      <c r="W56" s="191" t="s">
        <v>1447</v>
      </c>
      <c r="X56" s="191"/>
      <c r="Y56" s="191" t="s">
        <v>1446</v>
      </c>
      <c r="Z56" s="191" t="s">
        <v>1447</v>
      </c>
      <c r="AA56" s="236"/>
      <c r="AB56" s="236"/>
    </row>
    <row r="57" spans="1:28" s="154" customFormat="1" ht="15.75" customHeight="1">
      <c r="A57" s="144"/>
      <c r="B57" s="375"/>
      <c r="C57" s="162"/>
      <c r="D57" s="163"/>
      <c r="E57" s="164"/>
      <c r="F57" s="165"/>
      <c r="G57" s="165"/>
      <c r="H57" s="165"/>
      <c r="I57" s="380"/>
      <c r="J57" s="166"/>
      <c r="K57" s="165"/>
      <c r="L57" s="165"/>
      <c r="M57" s="186"/>
      <c r="N57" s="186"/>
      <c r="O57" s="187"/>
      <c r="P57" s="144"/>
      <c r="Q57" s="144"/>
      <c r="R57" s="189" t="s">
        <v>1448</v>
      </c>
      <c r="S57" s="357" t="e">
        <f>スコア!T122</f>
        <v>#DIV/0!</v>
      </c>
      <c r="T57" s="191" t="e">
        <f>スコア!AC122</f>
        <v>#DIV/0!</v>
      </c>
      <c r="U57" s="189" t="s">
        <v>90</v>
      </c>
      <c r="V57" s="381" t="e">
        <f>スコア!T145</f>
        <v>#DIV/0!</v>
      </c>
      <c r="W57" s="191" t="e">
        <f>スコア!AC145</f>
        <v>#DIV/0!</v>
      </c>
      <c r="X57" s="189" t="s">
        <v>2389</v>
      </c>
      <c r="Y57" s="357" t="e">
        <f>スコア!T172</f>
        <v>#DIV/0!</v>
      </c>
      <c r="Z57" s="191" t="e">
        <f>スコア!AC172</f>
        <v>#DIV/0!</v>
      </c>
      <c r="AA57" s="236"/>
      <c r="AB57" s="236"/>
    </row>
    <row r="58" spans="1:28" s="154" customFormat="1" ht="15.75" customHeight="1">
      <c r="A58" s="144"/>
      <c r="B58" s="382"/>
      <c r="C58" s="162"/>
      <c r="D58" s="163"/>
      <c r="E58" s="164"/>
      <c r="F58" s="165"/>
      <c r="G58" s="165"/>
      <c r="H58" s="165"/>
      <c r="I58" s="380"/>
      <c r="J58" s="166"/>
      <c r="K58" s="165"/>
      <c r="L58" s="165"/>
      <c r="M58" s="186"/>
      <c r="N58" s="186"/>
      <c r="O58" s="187"/>
      <c r="P58" s="144"/>
      <c r="Q58" s="144"/>
      <c r="Y58" s="383"/>
      <c r="AA58" s="236"/>
      <c r="AB58" s="236"/>
    </row>
    <row r="59" spans="1:28" s="154" customFormat="1" ht="15.75" customHeight="1">
      <c r="A59" s="144"/>
      <c r="B59" s="382"/>
      <c r="C59" s="162"/>
      <c r="D59" s="163"/>
      <c r="E59" s="164"/>
      <c r="F59" s="165"/>
      <c r="G59" s="165"/>
      <c r="H59" s="165"/>
      <c r="I59" s="380"/>
      <c r="J59" s="166"/>
      <c r="K59" s="165"/>
      <c r="L59" s="165"/>
      <c r="M59" s="186"/>
      <c r="N59" s="186"/>
      <c r="O59" s="187"/>
      <c r="P59" s="144"/>
      <c r="Q59" s="144"/>
      <c r="R59" s="191"/>
      <c r="S59" s="191" t="s">
        <v>1449</v>
      </c>
      <c r="T59" s="191" t="s">
        <v>1450</v>
      </c>
      <c r="U59" s="191"/>
      <c r="V59" s="191" t="s">
        <v>1449</v>
      </c>
      <c r="W59" s="191" t="s">
        <v>1450</v>
      </c>
      <c r="X59" s="191"/>
      <c r="Y59" s="358" t="s">
        <v>1449</v>
      </c>
      <c r="Z59" s="191" t="s">
        <v>1450</v>
      </c>
      <c r="AA59" s="236"/>
      <c r="AB59" s="236"/>
    </row>
    <row r="60" spans="1:28" s="154" customFormat="1" ht="15.75" customHeight="1">
      <c r="A60" s="144"/>
      <c r="B60" s="382"/>
      <c r="C60" s="162"/>
      <c r="D60" s="163"/>
      <c r="E60" s="164"/>
      <c r="F60" s="165"/>
      <c r="G60" s="165"/>
      <c r="H60" s="165"/>
      <c r="I60" s="380"/>
      <c r="J60" s="166"/>
      <c r="K60" s="165"/>
      <c r="L60" s="165"/>
      <c r="M60" s="186"/>
      <c r="N60" s="186"/>
      <c r="O60" s="187"/>
      <c r="P60" s="144"/>
      <c r="Q60" s="144"/>
      <c r="R60" s="189" t="s">
        <v>2390</v>
      </c>
      <c r="S60" s="384">
        <f>スコア!T123</f>
        <v>0</v>
      </c>
      <c r="T60" s="191" t="str">
        <f>IF(S60=0,"N.A.","")</f>
        <v>N.A.</v>
      </c>
      <c r="U60" s="385" t="s">
        <v>2391</v>
      </c>
      <c r="V60" s="357" t="e">
        <f>スコア!T146</f>
        <v>#DIV/0!</v>
      </c>
      <c r="W60" s="191" t="e">
        <f>IF(V60=0,"N.A.","")</f>
        <v>#DIV/0!</v>
      </c>
      <c r="X60" s="189"/>
      <c r="Y60" s="357">
        <f>スコア!T173</f>
        <v>0</v>
      </c>
      <c r="Z60" s="191" t="str">
        <f>IF(Y60=0,"N.A.","")</f>
        <v>N.A.</v>
      </c>
      <c r="AA60" s="236"/>
      <c r="AB60" s="236"/>
    </row>
    <row r="61" spans="1:28" s="154" customFormat="1" ht="15.75" customHeight="1">
      <c r="A61" s="144"/>
      <c r="B61" s="382"/>
      <c r="C61" s="162"/>
      <c r="D61" s="163"/>
      <c r="E61" s="164"/>
      <c r="F61" s="165"/>
      <c r="G61" s="165"/>
      <c r="H61" s="165"/>
      <c r="I61" s="380"/>
      <c r="J61" s="166"/>
      <c r="K61" s="165"/>
      <c r="L61" s="165"/>
      <c r="M61" s="186"/>
      <c r="N61" s="186"/>
      <c r="O61" s="187"/>
      <c r="P61" s="144"/>
      <c r="Q61" s="144"/>
      <c r="R61" s="189" t="s">
        <v>2627</v>
      </c>
      <c r="S61" s="384">
        <f>スコア!T124</f>
        <v>0</v>
      </c>
      <c r="T61" s="191" t="str">
        <f>IF(S61=0,"N.A.","")</f>
        <v>N.A.</v>
      </c>
      <c r="U61" s="385" t="s">
        <v>2628</v>
      </c>
      <c r="V61" s="357" t="e">
        <f>スコア!T151</f>
        <v>#DIV/0!</v>
      </c>
      <c r="W61" s="191" t="e">
        <f>IF(V61=0,"N.A.","")</f>
        <v>#DIV/0!</v>
      </c>
      <c r="X61" s="189" t="s">
        <v>2629</v>
      </c>
      <c r="Y61" s="357" t="e">
        <f>スコア!T174</f>
        <v>#DIV/0!</v>
      </c>
      <c r="Z61" s="191" t="e">
        <f>IF(Y61=0,"N.A.","")</f>
        <v>#DIV/0!</v>
      </c>
      <c r="AA61" s="236"/>
      <c r="AB61" s="236"/>
    </row>
    <row r="62" spans="1:28" s="154" customFormat="1" ht="15.75" customHeight="1" thickBot="1">
      <c r="A62" s="144"/>
      <c r="B62" s="386"/>
      <c r="C62" s="387"/>
      <c r="D62" s="388"/>
      <c r="E62" s="387"/>
      <c r="F62" s="389"/>
      <c r="G62" s="389"/>
      <c r="H62" s="389"/>
      <c r="I62" s="390"/>
      <c r="J62" s="254"/>
      <c r="K62" s="254"/>
      <c r="L62" s="254"/>
      <c r="M62" s="391"/>
      <c r="N62" s="391"/>
      <c r="O62" s="392"/>
      <c r="P62" s="144"/>
      <c r="Q62" s="144"/>
      <c r="R62" s="189" t="s">
        <v>2630</v>
      </c>
      <c r="S62" s="384">
        <f>スコア!T129</f>
        <v>0</v>
      </c>
      <c r="T62" s="191" t="str">
        <f>IF(S62=0,"N.A.","")</f>
        <v>N.A.</v>
      </c>
      <c r="U62" s="393" t="s">
        <v>2631</v>
      </c>
      <c r="V62" s="394" t="e">
        <f>スコア!T166</f>
        <v>#DIV/0!</v>
      </c>
      <c r="W62" s="191" t="e">
        <f>IF(V62=0,"N.A.","")</f>
        <v>#DIV/0!</v>
      </c>
      <c r="X62" s="189"/>
      <c r="Y62" s="357" t="e">
        <f>スコア!T183</f>
        <v>#DIV/0!</v>
      </c>
      <c r="Z62" s="191" t="e">
        <f>IF(Y62=0,"N.A.","")</f>
        <v>#DIV/0!</v>
      </c>
      <c r="AA62" s="236"/>
      <c r="AB62" s="236"/>
    </row>
    <row r="63" spans="1:28" s="154" customFormat="1" ht="6" customHeight="1" thickBot="1">
      <c r="A63" s="144"/>
      <c r="B63" s="395"/>
      <c r="C63" s="380"/>
      <c r="D63" s="396"/>
      <c r="E63" s="164"/>
      <c r="F63" s="165"/>
      <c r="G63" s="165"/>
      <c r="H63" s="165"/>
      <c r="I63" s="166"/>
      <c r="J63" s="166"/>
      <c r="K63" s="165"/>
      <c r="L63" s="165"/>
      <c r="M63" s="186"/>
      <c r="N63" s="186"/>
      <c r="O63" s="186"/>
      <c r="P63" s="144"/>
      <c r="Q63" s="247"/>
      <c r="R63" s="189" t="s">
        <v>2633</v>
      </c>
      <c r="S63" s="384" t="e">
        <f>スコア!T138</f>
        <v>#DIV/0!</v>
      </c>
      <c r="T63" s="191" t="e">
        <f>IF(S63=0,"N.A.","")</f>
        <v>#DIV/0!</v>
      </c>
      <c r="U63" s="236"/>
      <c r="V63" s="397"/>
      <c r="W63" s="397"/>
      <c r="X63" s="397"/>
      <c r="Y63" s="397"/>
      <c r="Z63" s="397"/>
      <c r="AA63" s="236"/>
      <c r="AB63" s="236"/>
    </row>
    <row r="64" spans="1:28" s="154" customFormat="1" ht="15.5">
      <c r="A64" s="144"/>
      <c r="B64" s="264" t="s">
        <v>2634</v>
      </c>
      <c r="C64" s="398"/>
      <c r="D64" s="399"/>
      <c r="E64" s="398"/>
      <c r="F64" s="398"/>
      <c r="G64" s="398"/>
      <c r="H64" s="400"/>
      <c r="I64" s="401"/>
      <c r="J64" s="398"/>
      <c r="K64" s="398"/>
      <c r="L64" s="398"/>
      <c r="M64" s="402"/>
      <c r="N64" s="402"/>
      <c r="O64" s="403"/>
      <c r="P64" s="144"/>
      <c r="Q64" s="247"/>
      <c r="R64" s="236"/>
      <c r="S64" s="236"/>
      <c r="T64" s="236"/>
      <c r="U64" s="236"/>
      <c r="V64" s="397"/>
      <c r="W64" s="397"/>
      <c r="X64" s="397"/>
      <c r="Y64" s="397"/>
      <c r="Z64" s="397"/>
      <c r="AA64" s="236"/>
      <c r="AB64" s="236"/>
    </row>
    <row r="65" spans="1:28" s="154" customFormat="1" ht="14">
      <c r="A65" s="144"/>
      <c r="B65" s="404" t="s">
        <v>2635</v>
      </c>
      <c r="C65" s="405"/>
      <c r="D65" s="406"/>
      <c r="E65" s="405"/>
      <c r="F65" s="405"/>
      <c r="G65" s="405"/>
      <c r="H65" s="405"/>
      <c r="I65" s="405"/>
      <c r="J65" s="405"/>
      <c r="K65" s="407"/>
      <c r="L65" s="408" t="s">
        <v>2636</v>
      </c>
      <c r="M65" s="409"/>
      <c r="N65" s="409"/>
      <c r="O65" s="410"/>
      <c r="P65" s="144"/>
      <c r="Q65" s="247"/>
      <c r="R65" s="411"/>
      <c r="S65" s="236"/>
      <c r="T65" s="236"/>
      <c r="U65" s="236"/>
      <c r="V65" s="397"/>
      <c r="W65" s="397"/>
      <c r="X65" s="397"/>
      <c r="Y65" s="397"/>
      <c r="Z65" s="397"/>
      <c r="AA65" s="236"/>
      <c r="AB65" s="236"/>
    </row>
    <row r="66" spans="1:28" s="154" customFormat="1" ht="52.5" customHeight="1">
      <c r="A66" s="144"/>
      <c r="B66" s="3072" t="str">
        <f>IF(配慮!C4=0,"",配慮!C4)</f>
        <v>　注）　設計における総合的なコンセプトを簡潔に記載してください。
　</v>
      </c>
      <c r="C66" s="3073"/>
      <c r="D66" s="3073"/>
      <c r="E66" s="3073"/>
      <c r="F66" s="3073"/>
      <c r="G66" s="3073"/>
      <c r="H66" s="3073"/>
      <c r="I66" s="3073"/>
      <c r="J66" s="3073"/>
      <c r="K66" s="3074"/>
      <c r="L66" s="3075" t="str">
        <f>配慮!C11</f>
        <v>　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M66" s="3076"/>
      <c r="N66" s="3076"/>
      <c r="O66" s="3077"/>
      <c r="P66" s="144"/>
      <c r="Q66" s="247"/>
      <c r="R66" s="236"/>
      <c r="S66" s="236"/>
      <c r="T66" s="236"/>
      <c r="U66" s="236"/>
      <c r="V66" s="397"/>
      <c r="W66" s="397"/>
      <c r="X66" s="397"/>
      <c r="Y66" s="397"/>
      <c r="Z66" s="397"/>
      <c r="AA66" s="236"/>
      <c r="AB66" s="236"/>
    </row>
    <row r="67" spans="1:28" s="154" customFormat="1" ht="14">
      <c r="A67" s="144"/>
      <c r="B67" s="412" t="str">
        <f>配慮!B5</f>
        <v>Q1 
室内環境</v>
      </c>
      <c r="C67" s="409"/>
      <c r="D67" s="409"/>
      <c r="E67" s="409"/>
      <c r="F67" s="409"/>
      <c r="G67" s="413"/>
      <c r="H67" s="414" t="str">
        <f>配慮!B6</f>
        <v>Q2 
サービス性能</v>
      </c>
      <c r="I67" s="415"/>
      <c r="J67" s="415"/>
      <c r="K67" s="416"/>
      <c r="L67" s="417" t="str">
        <f>配慮!B7</f>
        <v>Q3 
室外環境（敷地内）</v>
      </c>
      <c r="M67" s="418"/>
      <c r="N67" s="419"/>
      <c r="O67" s="420"/>
      <c r="P67" s="144"/>
      <c r="Q67" s="247"/>
      <c r="R67" s="236"/>
      <c r="S67" s="236"/>
      <c r="T67" s="236"/>
      <c r="U67" s="236"/>
      <c r="V67" s="236"/>
      <c r="W67" s="236"/>
      <c r="X67" s="236"/>
      <c r="Y67" s="236"/>
      <c r="Z67" s="236"/>
      <c r="AA67" s="236"/>
      <c r="AB67" s="236"/>
    </row>
    <row r="68" spans="1:28" s="154" customFormat="1" ht="50.25" customHeight="1">
      <c r="A68" s="144"/>
      <c r="B68" s="3078" t="str">
        <f>IF(配慮!C5=0,"",配慮!C5)</f>
        <v>　注）　「Q1　室内環境」に対する配慮事項を簡潔に記載してください。</v>
      </c>
      <c r="C68" s="3076"/>
      <c r="D68" s="3076"/>
      <c r="E68" s="3076"/>
      <c r="F68" s="3076"/>
      <c r="G68" s="3079"/>
      <c r="H68" s="3080" t="str">
        <f>IF(配慮!C6=0,"",配慮!C6)</f>
        <v>　注）　「Q2　サービス性能」に対する配慮事項を簡潔に記載してください。</v>
      </c>
      <c r="I68" s="3076"/>
      <c r="J68" s="3076"/>
      <c r="K68" s="3079"/>
      <c r="L68" s="3080" t="str">
        <f>IF(配慮!C7=0,"",配慮!C7)</f>
        <v>　注）　「Q3　室外環境（敷地内）」に対する配慮事項を簡潔に記載してください。</v>
      </c>
      <c r="M68" s="3076"/>
      <c r="N68" s="3076"/>
      <c r="O68" s="3077"/>
      <c r="P68" s="144"/>
      <c r="Q68" s="247"/>
      <c r="R68" s="236"/>
      <c r="S68" s="236"/>
      <c r="T68" s="236"/>
      <c r="U68" s="236"/>
      <c r="V68" s="236"/>
      <c r="W68" s="236"/>
      <c r="X68" s="236"/>
      <c r="Y68" s="236"/>
      <c r="Z68" s="236"/>
      <c r="AA68" s="236"/>
      <c r="AB68" s="236"/>
    </row>
    <row r="69" spans="1:28" s="154" customFormat="1" ht="14">
      <c r="A69" s="144"/>
      <c r="B69" s="421" t="str">
        <f>配慮!B8</f>
        <v>LR1 
エネルギー</v>
      </c>
      <c r="C69" s="422"/>
      <c r="D69" s="406"/>
      <c r="E69" s="406"/>
      <c r="F69" s="406"/>
      <c r="G69" s="423"/>
      <c r="H69" s="424" t="str">
        <f>配慮!B9</f>
        <v>LR2 
資源・マテリアル</v>
      </c>
      <c r="I69" s="409"/>
      <c r="J69" s="409"/>
      <c r="K69" s="413"/>
      <c r="L69" s="425" t="str">
        <f>配慮!B10</f>
        <v>LR3 
敷地外環境</v>
      </c>
      <c r="M69" s="422"/>
      <c r="N69" s="406"/>
      <c r="O69" s="426"/>
      <c r="P69" s="144"/>
      <c r="Q69" s="247"/>
      <c r="R69" s="236"/>
      <c r="S69" s="236"/>
      <c r="T69" s="236"/>
      <c r="U69" s="236"/>
      <c r="V69" s="236"/>
      <c r="W69" s="236"/>
      <c r="X69" s="236"/>
      <c r="Y69" s="236"/>
      <c r="Z69" s="236"/>
      <c r="AA69" s="236"/>
      <c r="AB69" s="236"/>
    </row>
    <row r="70" spans="1:28" s="154" customFormat="1" ht="61.5" customHeight="1" thickBot="1">
      <c r="A70" s="144"/>
      <c r="B70" s="3057" t="str">
        <f>IF(配慮!C8=0,"",配慮!C8)</f>
        <v>　注）　「LR1　エネルギー」に対する配慮事項を簡潔に記載してください。</v>
      </c>
      <c r="C70" s="3058"/>
      <c r="D70" s="3058"/>
      <c r="E70" s="3058"/>
      <c r="F70" s="3058"/>
      <c r="G70" s="3059"/>
      <c r="H70" s="3060" t="str">
        <f>IF(配慮!C9=0,"",配慮!C9)</f>
        <v>　注）　「LR2　資源・マテリアル」に対する配慮事項を簡潔に記載してください。</v>
      </c>
      <c r="I70" s="3058"/>
      <c r="J70" s="3058"/>
      <c r="K70" s="3059"/>
      <c r="L70" s="3060" t="str">
        <f>IF(配慮!C10=0,"",配慮!C10)</f>
        <v>　注）　「LR3　敷地外環境」に対する配慮事項を簡潔に記載してください。</v>
      </c>
      <c r="M70" s="3058"/>
      <c r="N70" s="3058"/>
      <c r="O70" s="3061"/>
      <c r="P70" s="144"/>
      <c r="Q70" s="247"/>
      <c r="R70" s="236"/>
      <c r="S70" s="236"/>
      <c r="T70" s="236"/>
      <c r="U70" s="236"/>
      <c r="V70" s="236"/>
      <c r="W70" s="236"/>
      <c r="X70" s="236"/>
      <c r="Y70" s="236"/>
      <c r="Z70" s="236"/>
      <c r="AA70" s="236"/>
      <c r="AB70" s="236"/>
    </row>
    <row r="71" spans="1:28" s="154" customFormat="1" ht="8.25" customHeight="1">
      <c r="A71" s="144"/>
      <c r="B71" s="144"/>
      <c r="C71" s="144"/>
      <c r="D71" s="144"/>
      <c r="E71" s="144"/>
      <c r="F71" s="144"/>
      <c r="G71" s="144"/>
      <c r="H71" s="144"/>
      <c r="I71" s="144"/>
      <c r="J71" s="144"/>
      <c r="K71" s="144"/>
      <c r="L71" s="144"/>
      <c r="M71" s="144"/>
      <c r="N71" s="144"/>
      <c r="O71" s="144"/>
      <c r="P71" s="144"/>
      <c r="Q71" s="144"/>
      <c r="R71" s="236"/>
      <c r="S71" s="236"/>
      <c r="T71" s="236"/>
      <c r="U71" s="236"/>
      <c r="V71" s="236"/>
      <c r="W71" s="236"/>
      <c r="X71" s="236"/>
      <c r="Y71" s="236"/>
      <c r="Z71" s="236"/>
      <c r="AA71" s="236"/>
      <c r="AB71" s="236"/>
    </row>
    <row r="72" spans="1:28" s="154" customFormat="1" ht="16" hidden="1" thickBot="1">
      <c r="A72" s="144"/>
      <c r="B72" s="427" t="s">
        <v>2637</v>
      </c>
      <c r="C72" s="428"/>
      <c r="D72" s="429"/>
      <c r="E72" s="428"/>
      <c r="F72" s="428"/>
      <c r="G72" s="428"/>
      <c r="H72" s="428"/>
      <c r="I72" s="428"/>
      <c r="J72" s="430"/>
      <c r="K72" s="431"/>
      <c r="L72" s="431"/>
      <c r="M72" s="431"/>
      <c r="N72" s="432"/>
      <c r="O72" s="433" t="s">
        <v>2638</v>
      </c>
      <c r="P72" s="144"/>
      <c r="Q72" s="144"/>
      <c r="R72" s="236"/>
      <c r="S72" s="236"/>
      <c r="T72" s="236"/>
      <c r="U72" s="236"/>
      <c r="V72" s="236"/>
      <c r="W72" s="236"/>
      <c r="X72" s="236"/>
      <c r="Y72" s="236"/>
      <c r="Z72" s="236"/>
      <c r="AA72" s="236"/>
      <c r="AB72" s="236"/>
    </row>
    <row r="73" spans="1:28" s="154" customFormat="1" ht="15.5" hidden="1">
      <c r="A73" s="144"/>
      <c r="B73" s="434" t="s">
        <v>1333</v>
      </c>
      <c r="C73" s="435"/>
      <c r="D73" s="436"/>
      <c r="E73" s="435"/>
      <c r="F73" s="435"/>
      <c r="G73" s="435"/>
      <c r="H73" s="435"/>
      <c r="I73" s="435"/>
      <c r="J73" s="437"/>
      <c r="K73" s="438"/>
      <c r="L73" s="439"/>
      <c r="M73" s="439"/>
      <c r="N73" s="437"/>
      <c r="O73" s="440" t="s">
        <v>1916</v>
      </c>
      <c r="P73" s="144"/>
      <c r="Q73" s="144"/>
      <c r="R73" s="236"/>
      <c r="S73" s="236"/>
      <c r="T73" s="236"/>
      <c r="U73" s="236"/>
      <c r="V73" s="236"/>
      <c r="W73" s="236"/>
      <c r="X73" s="236"/>
      <c r="Y73" s="236"/>
      <c r="Z73" s="236"/>
      <c r="AA73" s="236"/>
      <c r="AB73" s="236"/>
    </row>
    <row r="74" spans="1:28" s="154" customFormat="1" ht="14" hidden="1">
      <c r="A74" s="144"/>
      <c r="B74" s="441"/>
      <c r="C74" s="442"/>
      <c r="D74" s="443"/>
      <c r="E74" s="444" t="s">
        <v>1334</v>
      </c>
      <c r="F74" s="445"/>
      <c r="G74" s="445"/>
      <c r="H74" s="444" t="s">
        <v>522</v>
      </c>
      <c r="I74" s="445"/>
      <c r="J74" s="444" t="s">
        <v>962</v>
      </c>
      <c r="K74" s="446"/>
      <c r="L74" s="444" t="s">
        <v>963</v>
      </c>
      <c r="M74" s="445"/>
      <c r="N74" s="445"/>
      <c r="O74" s="447" t="s">
        <v>964</v>
      </c>
      <c r="P74" s="144"/>
      <c r="Q74" s="144"/>
      <c r="R74" s="236"/>
      <c r="S74" s="236"/>
      <c r="T74" s="236"/>
      <c r="U74" s="236"/>
      <c r="V74" s="236"/>
      <c r="W74" s="236"/>
      <c r="X74" s="236"/>
      <c r="Y74" s="236"/>
      <c r="Z74" s="236"/>
      <c r="AA74" s="236"/>
      <c r="AB74" s="236"/>
    </row>
    <row r="75" spans="1:28" s="154" customFormat="1" ht="14" hidden="1">
      <c r="A75" s="144"/>
      <c r="B75" s="448"/>
      <c r="C75" s="449" t="s">
        <v>965</v>
      </c>
      <c r="D75" s="450"/>
      <c r="E75" s="451"/>
      <c r="F75" s="452" t="s">
        <v>966</v>
      </c>
      <c r="G75" s="453"/>
      <c r="H75" s="451"/>
      <c r="I75" s="452" t="s">
        <v>967</v>
      </c>
      <c r="J75" s="454"/>
      <c r="K75" s="452" t="s">
        <v>966</v>
      </c>
      <c r="L75" s="455"/>
      <c r="M75" s="456"/>
      <c r="N75" s="457"/>
      <c r="O75" s="458"/>
      <c r="P75" s="144"/>
      <c r="Q75" s="144"/>
      <c r="R75" s="236"/>
      <c r="S75" s="236"/>
      <c r="T75" s="236"/>
      <c r="U75" s="236"/>
      <c r="V75" s="236"/>
      <c r="W75" s="236"/>
      <c r="X75" s="236"/>
      <c r="Y75" s="236"/>
      <c r="Z75" s="236"/>
      <c r="AA75" s="236"/>
      <c r="AB75" s="236"/>
    </row>
    <row r="76" spans="1:28" s="154" customFormat="1" ht="15.5" hidden="1">
      <c r="A76" s="144"/>
      <c r="B76" s="448"/>
      <c r="C76" s="459" t="s">
        <v>968</v>
      </c>
      <c r="D76" s="460"/>
      <c r="E76" s="461"/>
      <c r="F76" s="361" t="s">
        <v>969</v>
      </c>
      <c r="G76" s="361"/>
      <c r="H76" s="461"/>
      <c r="I76" s="361" t="s">
        <v>970</v>
      </c>
      <c r="J76" s="462"/>
      <c r="K76" s="361" t="s">
        <v>969</v>
      </c>
      <c r="L76" s="463"/>
      <c r="N76" s="464"/>
      <c r="O76" s="465"/>
      <c r="P76" s="144"/>
      <c r="Q76" s="144"/>
      <c r="W76" s="236"/>
      <c r="X76" s="236"/>
      <c r="Y76" s="236"/>
      <c r="Z76" s="236"/>
      <c r="AA76" s="236"/>
      <c r="AB76" s="236"/>
    </row>
    <row r="77" spans="1:28" s="154" customFormat="1" ht="14.5" hidden="1">
      <c r="A77" s="466"/>
      <c r="B77" s="467"/>
      <c r="C77" s="468" t="s">
        <v>971</v>
      </c>
      <c r="D77" s="460"/>
      <c r="E77" s="461"/>
      <c r="F77" s="453" t="s">
        <v>972</v>
      </c>
      <c r="G77" s="453"/>
      <c r="H77" s="461"/>
      <c r="I77" s="453" t="s">
        <v>973</v>
      </c>
      <c r="J77" s="462"/>
      <c r="K77" s="453" t="s">
        <v>972</v>
      </c>
      <c r="L77" s="463"/>
      <c r="N77" s="469"/>
      <c r="O77" s="465"/>
      <c r="P77" s="466"/>
      <c r="Q77" s="144"/>
      <c r="W77" s="236"/>
      <c r="X77" s="236"/>
      <c r="Y77" s="236"/>
      <c r="Z77" s="236"/>
      <c r="AA77" s="236"/>
      <c r="AB77" s="236"/>
    </row>
    <row r="78" spans="1:28" s="154" customFormat="1" ht="15.5" hidden="1">
      <c r="A78" s="144"/>
      <c r="B78" s="448"/>
      <c r="C78" s="470" t="s">
        <v>974</v>
      </c>
      <c r="D78" s="460"/>
      <c r="E78" s="461"/>
      <c r="F78" s="361" t="s">
        <v>969</v>
      </c>
      <c r="G78" s="361"/>
      <c r="H78" s="461"/>
      <c r="I78" s="361" t="s">
        <v>970</v>
      </c>
      <c r="J78" s="462"/>
      <c r="K78" s="361" t="s">
        <v>969</v>
      </c>
      <c r="L78" s="463"/>
      <c r="N78" s="464"/>
      <c r="O78" s="471"/>
      <c r="P78" s="144"/>
      <c r="Q78" s="144"/>
      <c r="W78" s="236"/>
      <c r="X78" s="236"/>
      <c r="Y78" s="236"/>
      <c r="Z78" s="236"/>
      <c r="AA78" s="236"/>
      <c r="AB78" s="236"/>
    </row>
    <row r="79" spans="1:28" s="154" customFormat="1" ht="14" hidden="1">
      <c r="A79" s="144"/>
      <c r="B79" s="448"/>
      <c r="C79" s="470" t="s">
        <v>975</v>
      </c>
      <c r="D79" s="460"/>
      <c r="E79" s="461"/>
      <c r="F79" s="472" t="s">
        <v>976</v>
      </c>
      <c r="G79" s="361"/>
      <c r="H79" s="461"/>
      <c r="I79" s="472" t="s">
        <v>977</v>
      </c>
      <c r="J79" s="462"/>
      <c r="K79" s="472" t="s">
        <v>976</v>
      </c>
      <c r="L79" s="463"/>
      <c r="N79" s="464"/>
      <c r="O79" s="187"/>
      <c r="P79" s="144"/>
      <c r="Q79" s="144"/>
      <c r="W79" s="236"/>
      <c r="X79" s="236"/>
      <c r="Y79" s="236"/>
      <c r="Z79" s="236"/>
      <c r="AA79" s="236"/>
      <c r="AB79" s="236"/>
    </row>
    <row r="80" spans="1:28" s="154" customFormat="1" ht="14" hidden="1">
      <c r="A80" s="144"/>
      <c r="B80" s="448"/>
      <c r="C80" s="470" t="s">
        <v>978</v>
      </c>
      <c r="D80" s="460"/>
      <c r="E80" s="461"/>
      <c r="F80" s="472" t="s">
        <v>976</v>
      </c>
      <c r="G80" s="361"/>
      <c r="H80" s="461"/>
      <c r="I80" s="472" t="s">
        <v>977</v>
      </c>
      <c r="J80" s="462"/>
      <c r="K80" s="472" t="s">
        <v>976</v>
      </c>
      <c r="L80" s="463"/>
      <c r="N80" s="464"/>
      <c r="O80" s="465"/>
      <c r="P80" s="144"/>
      <c r="Q80" s="144"/>
      <c r="W80" s="236"/>
      <c r="X80" s="236"/>
      <c r="Y80" s="236"/>
      <c r="Z80" s="236"/>
      <c r="AA80" s="236"/>
      <c r="AB80" s="236"/>
    </row>
    <row r="81" spans="1:47" s="154" customFormat="1" ht="14.5" hidden="1" thickBot="1">
      <c r="A81" s="144"/>
      <c r="B81" s="473"/>
      <c r="C81" s="474"/>
      <c r="D81" s="475"/>
      <c r="E81" s="476"/>
      <c r="F81" s="477"/>
      <c r="G81" s="387"/>
      <c r="H81" s="476"/>
      <c r="I81" s="477"/>
      <c r="J81" s="478"/>
      <c r="K81" s="477"/>
      <c r="L81" s="463"/>
      <c r="N81" s="479"/>
      <c r="O81" s="480"/>
      <c r="P81" s="144"/>
      <c r="Q81" s="144"/>
      <c r="W81" s="236"/>
      <c r="X81" s="236"/>
      <c r="Y81" s="236"/>
      <c r="Z81" s="236"/>
      <c r="AA81" s="236"/>
      <c r="AB81" s="236"/>
    </row>
    <row r="82" spans="1:47" s="154" customFormat="1" ht="16" hidden="1" thickBot="1">
      <c r="A82" s="144"/>
      <c r="B82" s="481" t="s">
        <v>979</v>
      </c>
      <c r="C82" s="482"/>
      <c r="D82" s="483"/>
      <c r="E82" s="484"/>
      <c r="F82" s="485"/>
      <c r="G82" s="485"/>
      <c r="H82" s="485"/>
      <c r="I82" s="485"/>
      <c r="J82" s="485"/>
      <c r="K82" s="485"/>
      <c r="L82" s="485"/>
      <c r="M82" s="485"/>
      <c r="N82" s="485"/>
      <c r="O82" s="486"/>
      <c r="P82" s="144"/>
      <c r="Q82" s="144"/>
      <c r="W82" s="236"/>
      <c r="X82" s="236"/>
      <c r="Y82" s="236"/>
      <c r="Z82" s="236"/>
      <c r="AA82" s="236"/>
      <c r="AB82" s="236"/>
    </row>
    <row r="83" spans="1:47" s="154" customFormat="1" ht="15.5" hidden="1">
      <c r="A83" s="144"/>
      <c r="B83" s="487" t="s">
        <v>980</v>
      </c>
      <c r="C83" s="488"/>
      <c r="D83" s="489"/>
      <c r="E83" s="490"/>
      <c r="F83" s="491"/>
      <c r="G83" s="491"/>
      <c r="H83" s="491"/>
      <c r="I83" s="489"/>
      <c r="J83" s="492" t="s">
        <v>981</v>
      </c>
      <c r="K83" s="493"/>
      <c r="L83" s="494"/>
      <c r="M83" s="488"/>
      <c r="N83" s="488"/>
      <c r="O83" s="495"/>
      <c r="P83" s="144"/>
      <c r="Q83" s="144"/>
      <c r="W83" s="236"/>
      <c r="X83" s="236"/>
      <c r="Y83" s="236"/>
      <c r="Z83" s="236"/>
      <c r="AA83" s="236"/>
      <c r="AB83" s="236"/>
    </row>
    <row r="84" spans="1:47" s="154" customFormat="1" ht="14" hidden="1">
      <c r="A84" s="144"/>
      <c r="B84" s="496"/>
      <c r="C84" s="497" t="s">
        <v>982</v>
      </c>
      <c r="D84" s="498"/>
      <c r="E84" s="498"/>
      <c r="F84" s="498"/>
      <c r="G84" s="498"/>
      <c r="H84" s="498"/>
      <c r="I84" s="498"/>
      <c r="J84" s="499" t="s">
        <v>983</v>
      </c>
      <c r="L84" s="500"/>
      <c r="M84" s="276"/>
      <c r="N84" s="276"/>
      <c r="O84" s="277"/>
      <c r="P84" s="144"/>
      <c r="Q84" s="144"/>
      <c r="W84" s="236"/>
      <c r="X84" s="236"/>
      <c r="Y84" s="236"/>
      <c r="Z84" s="236"/>
      <c r="AA84" s="236"/>
      <c r="AB84" s="236"/>
    </row>
    <row r="85" spans="1:47" s="154" customFormat="1" ht="14" hidden="1">
      <c r="A85" s="144"/>
      <c r="B85" s="496"/>
      <c r="C85" s="497"/>
      <c r="D85" s="498"/>
      <c r="E85" s="498"/>
      <c r="F85" s="498"/>
      <c r="G85" s="498"/>
      <c r="H85" s="498"/>
      <c r="I85" s="498"/>
      <c r="J85" s="499"/>
      <c r="L85" s="500"/>
      <c r="M85" s="276"/>
      <c r="N85" s="276"/>
      <c r="O85" s="277"/>
      <c r="P85" s="144"/>
      <c r="Q85" s="144"/>
      <c r="W85" s="236"/>
      <c r="X85" s="236"/>
      <c r="Y85" s="236"/>
      <c r="Z85" s="236"/>
      <c r="AA85" s="236"/>
      <c r="AB85" s="236"/>
    </row>
    <row r="86" spans="1:47" s="154" customFormat="1" ht="14.5" hidden="1" thickBot="1">
      <c r="A86" s="144"/>
      <c r="B86" s="501"/>
      <c r="C86" s="502"/>
      <c r="D86" s="503"/>
      <c r="E86" s="503"/>
      <c r="F86" s="503"/>
      <c r="G86" s="503"/>
      <c r="H86" s="503"/>
      <c r="I86" s="503"/>
      <c r="J86" s="504"/>
      <c r="K86" s="253"/>
      <c r="L86" s="505"/>
      <c r="M86" s="505"/>
      <c r="N86" s="505"/>
      <c r="O86" s="506"/>
      <c r="P86" s="144"/>
      <c r="Q86" s="144"/>
      <c r="W86" s="153"/>
      <c r="X86" s="153"/>
      <c r="Y86" s="153"/>
      <c r="Z86" s="153"/>
      <c r="AA86" s="153"/>
      <c r="AB86" s="153"/>
    </row>
    <row r="87" spans="1:47" ht="14" hidden="1">
      <c r="B87" s="361"/>
      <c r="C87" s="361"/>
      <c r="D87" s="377"/>
      <c r="E87" s="361"/>
      <c r="F87" s="165"/>
      <c r="G87" s="165"/>
      <c r="H87" s="165"/>
      <c r="I87" s="166"/>
      <c r="J87" s="166"/>
      <c r="K87" s="165"/>
      <c r="L87" s="165"/>
      <c r="M87" s="186"/>
      <c r="N87" s="186"/>
      <c r="O87" s="186"/>
      <c r="S87" s="154"/>
      <c r="W87" s="153"/>
      <c r="X87" s="153"/>
      <c r="Y87" s="153"/>
      <c r="Z87" s="153"/>
      <c r="AA87" s="153"/>
      <c r="AB87" s="153"/>
      <c r="AC87" s="154"/>
      <c r="AD87" s="154"/>
      <c r="AE87" s="154"/>
      <c r="AF87" s="154"/>
      <c r="AG87" s="154"/>
      <c r="AH87" s="154"/>
      <c r="AI87" s="154"/>
      <c r="AJ87" s="154"/>
      <c r="AK87" s="154"/>
      <c r="AL87" s="154"/>
      <c r="AM87" s="154"/>
      <c r="AN87" s="154"/>
      <c r="AO87" s="154"/>
      <c r="AP87" s="154"/>
      <c r="AQ87" s="154"/>
      <c r="AR87" s="154"/>
      <c r="AS87" s="154"/>
      <c r="AT87" s="154"/>
      <c r="AU87" s="154"/>
    </row>
    <row r="88" spans="1:47" ht="14" hidden="1">
      <c r="B88" s="508"/>
      <c r="C88" s="509"/>
      <c r="D88" s="510"/>
      <c r="E88" s="511"/>
      <c r="F88" s="511"/>
      <c r="G88" s="511"/>
      <c r="H88" s="511"/>
      <c r="I88" s="512"/>
      <c r="J88" s="513"/>
      <c r="K88" s="512"/>
      <c r="L88" s="514"/>
      <c r="M88" s="512"/>
      <c r="N88" s="515"/>
      <c r="O88" s="516"/>
      <c r="R88" s="153"/>
      <c r="S88" s="153"/>
      <c r="T88" s="153"/>
      <c r="U88" s="153"/>
      <c r="V88" s="153"/>
      <c r="W88" s="153"/>
      <c r="X88" s="153"/>
      <c r="Y88" s="153"/>
      <c r="Z88" s="153"/>
      <c r="AA88" s="153"/>
      <c r="AB88" s="153"/>
      <c r="AC88" s="154"/>
      <c r="AD88" s="154"/>
      <c r="AE88" s="154"/>
      <c r="AF88" s="154"/>
      <c r="AG88" s="154"/>
      <c r="AH88" s="154"/>
      <c r="AI88" s="154"/>
      <c r="AJ88" s="154"/>
      <c r="AK88" s="154"/>
      <c r="AL88" s="154"/>
      <c r="AM88" s="154"/>
      <c r="AN88" s="154"/>
      <c r="AO88" s="154"/>
      <c r="AP88" s="154"/>
      <c r="AQ88" s="154"/>
      <c r="AR88" s="154"/>
      <c r="AS88" s="154"/>
      <c r="AT88" s="154"/>
      <c r="AU88" s="154"/>
    </row>
    <row r="89" spans="1:47" ht="14" hidden="1">
      <c r="B89" s="517"/>
      <c r="C89" s="518" t="s">
        <v>984</v>
      </c>
      <c r="D89" s="519" t="s">
        <v>1917</v>
      </c>
      <c r="E89" s="520" t="s">
        <v>1918</v>
      </c>
      <c r="G89" s="154"/>
      <c r="H89" s="520" t="s">
        <v>1919</v>
      </c>
      <c r="J89" s="523" t="s">
        <v>1920</v>
      </c>
      <c r="L89" s="523" t="s">
        <v>1921</v>
      </c>
      <c r="N89" s="525" t="s">
        <v>1922</v>
      </c>
      <c r="O89" s="526"/>
      <c r="R89" s="153"/>
      <c r="S89" s="153"/>
      <c r="T89" s="153"/>
      <c r="U89" s="153"/>
      <c r="V89" s="153"/>
      <c r="W89" s="153"/>
      <c r="X89" s="153"/>
      <c r="Y89" s="153"/>
      <c r="Z89" s="153"/>
      <c r="AA89" s="153"/>
      <c r="AB89" s="153"/>
      <c r="AC89" s="154"/>
      <c r="AD89" s="154"/>
      <c r="AE89" s="154"/>
      <c r="AF89" s="154"/>
      <c r="AG89" s="154"/>
      <c r="AH89" s="154"/>
      <c r="AI89" s="154"/>
      <c r="AJ89" s="154"/>
      <c r="AK89" s="154"/>
      <c r="AL89" s="154"/>
      <c r="AM89" s="154"/>
      <c r="AN89" s="154"/>
      <c r="AO89" s="154"/>
      <c r="AP89" s="154"/>
      <c r="AQ89" s="154"/>
      <c r="AR89" s="154"/>
      <c r="AS89" s="154"/>
      <c r="AT89" s="154"/>
      <c r="AU89" s="154"/>
    </row>
    <row r="90" spans="1:47" ht="14" hidden="1">
      <c r="A90" s="247"/>
      <c r="B90" s="517"/>
      <c r="C90" s="518" t="s">
        <v>2763</v>
      </c>
      <c r="D90" s="527" t="s">
        <v>2571</v>
      </c>
      <c r="E90" s="528"/>
      <c r="F90" s="529"/>
      <c r="G90" s="529"/>
      <c r="H90" s="529"/>
      <c r="I90" s="530"/>
      <c r="J90" s="530"/>
      <c r="K90" s="531"/>
      <c r="L90" s="531"/>
      <c r="M90" s="186"/>
      <c r="N90" s="186"/>
      <c r="O90" s="532"/>
      <c r="P90" s="247"/>
      <c r="Q90" s="247"/>
    </row>
    <row r="91" spans="1:47" ht="14" hidden="1">
      <c r="B91" s="534"/>
      <c r="C91" s="518" t="s">
        <v>2572</v>
      </c>
      <c r="D91" s="535" t="s">
        <v>2573</v>
      </c>
      <c r="E91" s="536"/>
      <c r="G91" s="537"/>
      <c r="O91" s="532"/>
    </row>
    <row r="92" spans="1:47" ht="14" hidden="1">
      <c r="B92" s="534"/>
      <c r="C92" s="518"/>
      <c r="D92" s="535" t="s">
        <v>2574</v>
      </c>
      <c r="E92" s="536"/>
      <c r="G92" s="537"/>
      <c r="O92" s="532"/>
    </row>
    <row r="93" spans="1:47" ht="14" hidden="1">
      <c r="B93" s="538"/>
      <c r="C93" s="539" t="s">
        <v>2575</v>
      </c>
      <c r="D93" s="540" t="s">
        <v>1923</v>
      </c>
      <c r="E93" s="541"/>
      <c r="F93" s="542"/>
      <c r="G93" s="543"/>
      <c r="H93" s="542"/>
      <c r="I93" s="544"/>
      <c r="J93" s="544"/>
      <c r="K93" s="542"/>
      <c r="L93" s="542"/>
      <c r="M93" s="545"/>
      <c r="N93" s="545"/>
      <c r="O93" s="546"/>
    </row>
    <row r="94" spans="1:47" ht="14">
      <c r="G94" s="537"/>
      <c r="O94" s="186"/>
    </row>
    <row r="95" spans="1:47" ht="14">
      <c r="G95" s="537"/>
      <c r="L95" s="537"/>
      <c r="M95" s="186"/>
      <c r="O95" s="186"/>
    </row>
    <row r="96" spans="1:47" ht="14">
      <c r="E96" s="524"/>
      <c r="F96" s="548"/>
      <c r="G96" s="537"/>
      <c r="H96" s="537"/>
      <c r="I96" s="531"/>
      <c r="L96" s="537"/>
      <c r="M96" s="186"/>
      <c r="O96" s="186"/>
    </row>
    <row r="97" spans="2:15" ht="14">
      <c r="C97" s="549"/>
      <c r="D97" s="379"/>
      <c r="E97" s="524"/>
      <c r="F97" s="548"/>
      <c r="G97" s="537"/>
      <c r="H97" s="537"/>
      <c r="I97" s="531"/>
      <c r="J97" s="531"/>
      <c r="K97" s="537"/>
      <c r="L97" s="537"/>
      <c r="M97" s="186"/>
      <c r="O97" s="186"/>
    </row>
    <row r="98" spans="2:15" ht="14">
      <c r="B98" s="550"/>
      <c r="C98" s="551"/>
      <c r="D98" s="552"/>
      <c r="E98" s="524"/>
      <c r="F98" s="548"/>
      <c r="G98" s="529"/>
      <c r="H98" s="529"/>
      <c r="I98" s="530"/>
      <c r="J98" s="530"/>
      <c r="K98" s="531"/>
      <c r="L98" s="531"/>
      <c r="M98" s="186"/>
      <c r="O98" s="186"/>
    </row>
    <row r="99" spans="2:15" ht="14" hidden="1">
      <c r="B99" s="550"/>
      <c r="C99" s="550"/>
      <c r="D99" s="553"/>
      <c r="G99" s="529"/>
      <c r="H99" s="529"/>
      <c r="I99" s="530"/>
      <c r="J99" s="530"/>
      <c r="K99" s="531"/>
      <c r="L99" s="531"/>
      <c r="M99" s="186"/>
      <c r="N99" s="186"/>
      <c r="O99" s="186"/>
    </row>
    <row r="100" spans="2:15" ht="14" hidden="1">
      <c r="E100" s="164"/>
      <c r="F100" s="165"/>
      <c r="G100" s="165"/>
      <c r="H100" s="165"/>
      <c r="I100" s="166"/>
      <c r="J100" s="166"/>
      <c r="K100" s="165"/>
      <c r="L100" s="165"/>
      <c r="M100" s="186"/>
      <c r="N100" s="186"/>
      <c r="O100" s="186"/>
    </row>
    <row r="101" spans="2:15" ht="14" hidden="1">
      <c r="E101" s="164"/>
      <c r="F101" s="165"/>
      <c r="G101" s="165"/>
      <c r="H101" s="165"/>
      <c r="I101" s="166"/>
      <c r="J101" s="166"/>
      <c r="K101" s="165"/>
      <c r="L101" s="165"/>
      <c r="M101" s="186"/>
      <c r="N101" s="186"/>
      <c r="O101" s="186"/>
    </row>
    <row r="102" spans="2:15" ht="14" hidden="1">
      <c r="E102" s="164"/>
      <c r="F102" s="165"/>
      <c r="G102" s="165"/>
      <c r="H102" s="165"/>
      <c r="I102" s="166"/>
      <c r="J102" s="166"/>
      <c r="K102" s="165"/>
      <c r="L102" s="165"/>
      <c r="M102" s="186"/>
      <c r="N102" s="186"/>
      <c r="O102" s="186"/>
    </row>
    <row r="103" spans="2:15" ht="14" hidden="1">
      <c r="E103" s="164"/>
      <c r="F103" s="165"/>
      <c r="G103" s="165"/>
      <c r="H103" s="165"/>
      <c r="I103" s="166"/>
      <c r="J103" s="166"/>
      <c r="K103" s="165"/>
      <c r="L103" s="165"/>
      <c r="M103" s="186"/>
      <c r="N103" s="186"/>
      <c r="O103" s="186"/>
    </row>
    <row r="104" spans="2:15" ht="14" hidden="1">
      <c r="E104" s="164"/>
      <c r="F104" s="165"/>
      <c r="G104" s="165"/>
      <c r="H104" s="165"/>
      <c r="I104" s="166"/>
      <c r="J104" s="166"/>
      <c r="K104" s="165"/>
      <c r="L104" s="165"/>
      <c r="M104" s="186"/>
      <c r="N104" s="186"/>
      <c r="O104" s="186"/>
    </row>
    <row r="105" spans="2:15" ht="14" hidden="1">
      <c r="E105" s="164"/>
      <c r="F105" s="165"/>
      <c r="G105" s="165"/>
      <c r="H105" s="165"/>
      <c r="I105" s="166"/>
      <c r="J105" s="166"/>
      <c r="K105" s="165"/>
      <c r="L105" s="165"/>
      <c r="M105" s="186"/>
      <c r="N105" s="186"/>
      <c r="O105" s="186"/>
    </row>
    <row r="106" spans="2:15" ht="14" hidden="1">
      <c r="E106" s="164"/>
      <c r="F106" s="165"/>
      <c r="G106" s="165"/>
      <c r="H106" s="165"/>
      <c r="I106" s="166"/>
      <c r="J106" s="166"/>
      <c r="K106" s="165"/>
      <c r="L106" s="165"/>
      <c r="M106" s="186"/>
      <c r="N106" s="186"/>
      <c r="O106" s="186"/>
    </row>
    <row r="107" spans="2:15" ht="14" hidden="1">
      <c r="E107" s="164"/>
      <c r="F107" s="165"/>
      <c r="G107" s="165"/>
      <c r="H107" s="165"/>
      <c r="I107" s="166"/>
      <c r="J107" s="166"/>
      <c r="K107" s="165"/>
      <c r="L107" s="165"/>
      <c r="M107" s="186"/>
      <c r="N107" s="186"/>
      <c r="O107" s="186"/>
    </row>
    <row r="108" spans="2:15" ht="14" hidden="1">
      <c r="E108" s="164"/>
      <c r="F108" s="165"/>
      <c r="G108" s="165"/>
      <c r="H108" s="165"/>
      <c r="I108" s="166"/>
      <c r="J108" s="166"/>
      <c r="K108" s="165"/>
      <c r="L108" s="165"/>
      <c r="M108" s="186"/>
      <c r="N108" s="186"/>
      <c r="O108" s="186"/>
    </row>
    <row r="109" spans="2:15" ht="14" hidden="1">
      <c r="E109" s="164"/>
      <c r="F109" s="165"/>
      <c r="G109" s="165"/>
      <c r="H109" s="165"/>
      <c r="I109" s="166"/>
      <c r="J109" s="166"/>
      <c r="K109" s="165"/>
      <c r="L109" s="165"/>
      <c r="M109" s="186"/>
      <c r="N109" s="186"/>
      <c r="O109" s="186"/>
    </row>
    <row r="110" spans="2:15" ht="14" hidden="1">
      <c r="E110" s="164"/>
      <c r="F110" s="165"/>
      <c r="G110" s="165"/>
      <c r="H110" s="165"/>
      <c r="I110" s="166"/>
      <c r="J110" s="166"/>
      <c r="K110" s="165"/>
      <c r="L110" s="165"/>
      <c r="M110" s="186"/>
      <c r="N110" s="186"/>
      <c r="O110" s="186"/>
    </row>
    <row r="111" spans="2:15" ht="14" hidden="1">
      <c r="E111" s="164"/>
      <c r="F111" s="165"/>
      <c r="G111" s="165"/>
      <c r="H111" s="165"/>
      <c r="I111" s="166"/>
      <c r="J111" s="166"/>
      <c r="K111" s="165"/>
      <c r="L111" s="165"/>
      <c r="M111" s="186"/>
      <c r="N111" s="186"/>
      <c r="O111" s="186"/>
    </row>
    <row r="112" spans="2:15" ht="14" hidden="1">
      <c r="E112" s="164"/>
      <c r="F112" s="165"/>
      <c r="G112" s="165"/>
      <c r="H112" s="165"/>
      <c r="I112" s="166"/>
      <c r="J112" s="166"/>
      <c r="K112" s="165"/>
      <c r="L112" s="165"/>
      <c r="M112" s="186"/>
      <c r="N112" s="186"/>
      <c r="O112" s="186"/>
    </row>
    <row r="113" spans="5:15" ht="14" hidden="1">
      <c r="E113" s="164"/>
      <c r="F113" s="165"/>
      <c r="G113" s="165"/>
      <c r="H113" s="165"/>
      <c r="I113" s="166"/>
      <c r="J113" s="166"/>
      <c r="K113" s="165"/>
      <c r="L113" s="165"/>
      <c r="M113" s="186"/>
      <c r="N113" s="186"/>
      <c r="O113" s="186"/>
    </row>
    <row r="114" spans="5:15" ht="14" hidden="1">
      <c r="E114" s="164"/>
      <c r="F114" s="165"/>
      <c r="G114" s="165"/>
      <c r="H114" s="165"/>
      <c r="I114" s="166"/>
      <c r="J114" s="166"/>
      <c r="K114" s="165"/>
      <c r="L114" s="165"/>
      <c r="M114" s="186"/>
      <c r="N114" s="186"/>
      <c r="O114" s="186"/>
    </row>
    <row r="115" spans="5:15" ht="14" hidden="1">
      <c r="E115" s="164"/>
      <c r="F115" s="165"/>
      <c r="G115" s="165"/>
      <c r="H115" s="165"/>
      <c r="I115" s="166"/>
      <c r="J115" s="166"/>
      <c r="K115" s="165"/>
      <c r="L115" s="165"/>
      <c r="M115" s="186"/>
      <c r="N115" s="186"/>
      <c r="O115" s="186"/>
    </row>
    <row r="116" spans="5:15" ht="14" hidden="1">
      <c r="E116" s="164"/>
      <c r="F116" s="165"/>
      <c r="G116" s="165"/>
      <c r="H116" s="165"/>
      <c r="I116" s="166"/>
      <c r="J116" s="166"/>
      <c r="K116" s="165"/>
      <c r="L116" s="165"/>
      <c r="M116" s="186"/>
      <c r="N116" s="186"/>
      <c r="O116" s="186"/>
    </row>
    <row r="117" spans="5:15" ht="14" hidden="1">
      <c r="E117" s="164"/>
      <c r="F117" s="165"/>
      <c r="G117" s="165"/>
      <c r="H117" s="165"/>
      <c r="I117" s="166"/>
      <c r="J117" s="166"/>
      <c r="K117" s="165"/>
      <c r="L117" s="165"/>
      <c r="M117" s="186"/>
      <c r="N117" s="186"/>
      <c r="O117" s="186"/>
    </row>
    <row r="118" spans="5:15" ht="14" hidden="1">
      <c r="E118" s="164"/>
      <c r="F118" s="165"/>
      <c r="G118" s="165"/>
      <c r="H118" s="165"/>
      <c r="I118" s="166"/>
      <c r="J118" s="166"/>
      <c r="K118" s="165"/>
      <c r="L118" s="165"/>
      <c r="M118" s="186"/>
      <c r="N118" s="186"/>
      <c r="O118" s="186"/>
    </row>
    <row r="119" spans="5:15" ht="14" hidden="1">
      <c r="E119" s="164"/>
      <c r="F119" s="165"/>
      <c r="G119" s="165"/>
      <c r="H119" s="165"/>
      <c r="I119" s="166"/>
      <c r="J119" s="166"/>
      <c r="K119" s="165"/>
      <c r="L119" s="165"/>
      <c r="M119" s="186"/>
      <c r="N119" s="186"/>
      <c r="O119" s="186"/>
    </row>
    <row r="120" spans="5:15" ht="14" hidden="1">
      <c r="E120" s="164"/>
      <c r="F120" s="165"/>
      <c r="G120" s="165"/>
      <c r="H120" s="165"/>
      <c r="I120" s="166"/>
      <c r="J120" s="166"/>
      <c r="K120" s="165"/>
      <c r="L120" s="165"/>
      <c r="M120" s="186"/>
      <c r="N120" s="186"/>
      <c r="O120" s="186"/>
    </row>
    <row r="121" spans="5:15" ht="14" hidden="1">
      <c r="E121" s="164"/>
      <c r="F121" s="165"/>
      <c r="G121" s="165"/>
      <c r="H121" s="165"/>
      <c r="I121" s="166"/>
      <c r="J121" s="166"/>
      <c r="K121" s="165"/>
      <c r="L121" s="165"/>
      <c r="M121" s="186"/>
      <c r="N121" s="186"/>
      <c r="O121" s="186"/>
    </row>
    <row r="122" spans="5:15" ht="14" hidden="1">
      <c r="E122" s="164"/>
      <c r="F122" s="165"/>
      <c r="G122" s="165"/>
      <c r="H122" s="165"/>
      <c r="I122" s="166"/>
      <c r="J122" s="166"/>
      <c r="K122" s="165"/>
      <c r="L122" s="165"/>
      <c r="M122" s="186"/>
      <c r="N122" s="186"/>
      <c r="O122" s="186"/>
    </row>
    <row r="123" spans="5:15" ht="14" hidden="1">
      <c r="E123" s="164"/>
      <c r="F123" s="165"/>
      <c r="G123" s="165"/>
      <c r="H123" s="165"/>
      <c r="I123" s="166"/>
      <c r="J123" s="166"/>
      <c r="K123" s="165"/>
      <c r="L123" s="165"/>
      <c r="M123" s="186"/>
      <c r="N123" s="186"/>
      <c r="O123" s="186"/>
    </row>
    <row r="124" spans="5:15" ht="14" hidden="1">
      <c r="E124" s="164"/>
      <c r="F124" s="165"/>
      <c r="G124" s="165"/>
      <c r="H124" s="165"/>
      <c r="I124" s="166"/>
      <c r="J124" s="166"/>
      <c r="K124" s="165"/>
      <c r="L124" s="165"/>
      <c r="M124" s="186"/>
      <c r="N124" s="186"/>
      <c r="O124" s="186"/>
    </row>
    <row r="125" spans="5:15" ht="14" hidden="1">
      <c r="E125" s="164"/>
      <c r="F125" s="165"/>
      <c r="G125" s="165"/>
      <c r="H125" s="165"/>
      <c r="I125" s="166"/>
      <c r="J125" s="166"/>
      <c r="K125" s="165"/>
      <c r="L125" s="165"/>
      <c r="M125" s="186"/>
      <c r="N125" s="186"/>
      <c r="O125" s="186"/>
    </row>
    <row r="126" spans="5:15" ht="14" hidden="1">
      <c r="E126" s="164"/>
      <c r="F126" s="165"/>
      <c r="G126" s="165"/>
      <c r="H126" s="165"/>
      <c r="I126" s="166"/>
      <c r="J126" s="166"/>
      <c r="K126" s="165"/>
      <c r="L126" s="165"/>
      <c r="M126" s="186"/>
      <c r="N126" s="186"/>
      <c r="O126" s="186"/>
    </row>
    <row r="127" spans="5:15" ht="14" hidden="1">
      <c r="E127" s="164"/>
      <c r="F127" s="165"/>
      <c r="G127" s="165"/>
      <c r="H127" s="165"/>
      <c r="I127" s="166"/>
      <c r="J127" s="166"/>
      <c r="K127" s="165"/>
      <c r="L127" s="165"/>
      <c r="M127" s="186"/>
      <c r="N127" s="186"/>
      <c r="O127" s="186"/>
    </row>
    <row r="128" spans="5:15" ht="14" hidden="1">
      <c r="E128" s="164"/>
      <c r="F128" s="165"/>
      <c r="G128" s="165"/>
      <c r="H128" s="165"/>
      <c r="I128" s="166"/>
      <c r="J128" s="166"/>
      <c r="K128" s="165"/>
      <c r="L128" s="165"/>
      <c r="M128" s="186"/>
      <c r="N128" s="186"/>
      <c r="O128" s="186"/>
    </row>
    <row r="129" spans="5:15" ht="14" hidden="1">
      <c r="E129" s="164"/>
      <c r="F129" s="165"/>
      <c r="G129" s="165"/>
      <c r="H129" s="165"/>
      <c r="I129" s="166"/>
      <c r="J129" s="166"/>
      <c r="K129" s="165"/>
      <c r="L129" s="165"/>
      <c r="M129" s="186"/>
      <c r="N129" s="186"/>
      <c r="O129" s="186"/>
    </row>
    <row r="130" spans="5:15" ht="14" hidden="1"/>
    <row r="131" spans="5:15" ht="14" hidden="1"/>
    <row r="132" spans="5:15" ht="14" hidden="1"/>
    <row r="133" spans="5:15" ht="14" hidden="1"/>
    <row r="134" spans="5:15" ht="14" hidden="1"/>
    <row r="135" spans="5:15" ht="14" hidden="1"/>
    <row r="136" spans="5:15" ht="14" hidden="1"/>
    <row r="137" spans="5:15" ht="14" hidden="1"/>
    <row r="138" spans="5:15" ht="14" hidden="1"/>
    <row r="139" spans="5:15" ht="14" hidden="1"/>
    <row r="140" spans="5:15" ht="14" hidden="1"/>
    <row r="141" spans="5:15" ht="14" hidden="1"/>
    <row r="142" spans="5:15" ht="14" hidden="1"/>
    <row r="143" spans="5:15" ht="14" hidden="1"/>
    <row r="144" spans="5:15"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0" hidden="1" customHeight="1"/>
    <row r="214" ht="0" hidden="1" customHeight="1"/>
    <row r="215" ht="0" hidden="1" customHeight="1"/>
  </sheetData>
  <mergeCells count="13">
    <mergeCell ref="B70:G70"/>
    <mergeCell ref="H70:K70"/>
    <mergeCell ref="L70:O70"/>
    <mergeCell ref="Q2:Q5"/>
    <mergeCell ref="K5:L5"/>
    <mergeCell ref="N5:O5"/>
    <mergeCell ref="D13:E13"/>
    <mergeCell ref="D14:E14"/>
    <mergeCell ref="B66:K66"/>
    <mergeCell ref="L66:O66"/>
    <mergeCell ref="B68:G68"/>
    <mergeCell ref="H68:K68"/>
    <mergeCell ref="L68:O68"/>
  </mergeCells>
  <phoneticPr fontId="22"/>
  <conditionalFormatting sqref="I28:I35">
    <cfRule type="expression" dxfId="239" priority="1" stopIfTrue="1">
      <formula>$U$37=$W$38</formula>
    </cfRule>
  </conditionalFormatting>
  <conditionalFormatting sqref="I36">
    <cfRule type="expression" dxfId="238" priority="2" stopIfTrue="1">
      <formula>$U$37=$W$38</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autoPageBreaks="0" fitToPage="1"/>
  </sheetPr>
  <dimension ref="A1:IV305"/>
  <sheetViews>
    <sheetView showGridLines="0" topLeftCell="A58" zoomScaleNormal="100" zoomScaleSheetLayoutView="100" workbookViewId="0">
      <selection activeCell="J99" sqref="J99"/>
    </sheetView>
  </sheetViews>
  <sheetFormatPr defaultColWidth="0" defaultRowHeight="13" zeroHeight="1"/>
  <cols>
    <col min="1" max="1" width="2.7265625" customWidth="1"/>
    <col min="2" max="3" width="4.36328125" hidden="1" customWidth="1"/>
    <col min="4" max="4" width="4.36328125" style="2284" customWidth="1"/>
    <col min="5" max="5" width="1.7265625" style="2014" customWidth="1"/>
    <col min="6" max="15" width="10.6328125" style="2014" customWidth="1"/>
    <col min="16" max="16" width="1.6328125" customWidth="1"/>
    <col min="17" max="17" width="14.08984375" hidden="1" customWidth="1"/>
    <col min="18" max="18" width="16.26953125" hidden="1" customWidth="1"/>
    <col min="19" max="19" width="3.36328125" hidden="1" customWidth="1"/>
    <col min="20" max="20" width="10.26953125" hidden="1" customWidth="1"/>
    <col min="21" max="21" width="13" hidden="1" customWidth="1"/>
    <col min="22" max="35" width="11.36328125" hidden="1" customWidth="1"/>
    <col min="36" max="256" width="0" hidden="1" customWidth="1"/>
    <col min="257" max="16384" width="9" hidden="1"/>
  </cols>
  <sheetData>
    <row r="1" spans="2:21" ht="15.5">
      <c r="D1" s="1322"/>
      <c r="E1" s="1323"/>
      <c r="F1" s="1323"/>
      <c r="G1" s="1323"/>
      <c r="H1" s="1323"/>
      <c r="I1" s="1323"/>
      <c r="J1" s="1324"/>
      <c r="K1" s="1324"/>
      <c r="L1" s="1324"/>
      <c r="M1" s="905" t="s">
        <v>2697</v>
      </c>
      <c r="N1" s="906" t="str">
        <f>メイン!C11</f>
        <v>○○ビル</v>
      </c>
      <c r="O1" s="907"/>
      <c r="R1" t="s">
        <v>1335</v>
      </c>
    </row>
    <row r="2" spans="2:21" ht="8.25" customHeight="1" thickBot="1">
      <c r="D2" s="908"/>
      <c r="E2" s="559"/>
      <c r="F2" s="559"/>
      <c r="G2" s="559"/>
      <c r="H2" s="559"/>
      <c r="I2" s="559"/>
      <c r="J2" s="909"/>
      <c r="K2" s="909"/>
      <c r="L2" s="909"/>
      <c r="M2" s="909"/>
      <c r="N2" s="909"/>
      <c r="O2" s="909"/>
    </row>
    <row r="3" spans="2:21" ht="18.5" thickBot="1">
      <c r="D3" s="1388" t="s">
        <v>2217</v>
      </c>
      <c r="E3" s="559"/>
      <c r="F3" s="559"/>
      <c r="G3" s="559"/>
      <c r="H3" s="911"/>
      <c r="I3" s="912" t="s">
        <v>2576</v>
      </c>
      <c r="J3" s="1324"/>
      <c r="K3" s="1324"/>
      <c r="L3" s="909"/>
      <c r="M3" s="909"/>
      <c r="N3" s="909"/>
      <c r="O3" s="1325" t="str">
        <f>IF(メイン!E39=0,"",メイン!E39)</f>
        <v/>
      </c>
      <c r="R3" t="s">
        <v>1361</v>
      </c>
      <c r="S3" t="s">
        <v>1964</v>
      </c>
      <c r="T3" t="s">
        <v>3367</v>
      </c>
      <c r="U3" t="str">
        <f>メイン!I37</f>
        <v>基本設計段階</v>
      </c>
    </row>
    <row r="4" spans="2:21" ht="6" customHeight="1">
      <c r="D4" s="908"/>
      <c r="E4" s="559"/>
      <c r="F4" s="559"/>
      <c r="G4" s="559"/>
      <c r="H4" s="559"/>
      <c r="I4" s="559"/>
      <c r="J4" s="909"/>
      <c r="K4" s="909"/>
      <c r="L4" s="909"/>
      <c r="M4" s="913"/>
      <c r="N4" s="909"/>
      <c r="O4" s="909"/>
      <c r="T4" t="s">
        <v>3343</v>
      </c>
      <c r="U4" t="str">
        <f>メイン!I38</f>
        <v>実施設計段階</v>
      </c>
    </row>
    <row r="5" spans="2:21" ht="14.25" customHeight="1">
      <c r="D5" s="908"/>
      <c r="E5" s="573"/>
      <c r="F5" s="573"/>
      <c r="G5" s="573"/>
      <c r="H5" s="573"/>
      <c r="I5" s="573"/>
      <c r="J5" s="909"/>
      <c r="K5" s="909"/>
      <c r="L5" s="913"/>
      <c r="M5" s="913"/>
      <c r="N5" s="909"/>
      <c r="O5" s="909"/>
      <c r="U5" t="str">
        <f>メイン!I39</f>
        <v>竣工段階</v>
      </c>
    </row>
    <row r="6" spans="2:21" ht="15.5">
      <c r="D6" s="1326">
        <v>1</v>
      </c>
      <c r="E6" s="1143" t="s">
        <v>2182</v>
      </c>
      <c r="F6" s="1143"/>
      <c r="G6" s="573"/>
      <c r="H6" s="573"/>
      <c r="I6" s="573"/>
      <c r="J6" s="999" t="str">
        <f>IF(OR(F16=0,AND(K16=0,O16=0)),$R$3,"")</f>
        <v>&lt;評価しない&gt;</v>
      </c>
      <c r="K6" s="909"/>
      <c r="L6" s="913"/>
      <c r="M6" s="913"/>
      <c r="N6" s="909"/>
      <c r="O6" s="909"/>
    </row>
    <row r="7" spans="2:21" ht="14" hidden="1">
      <c r="B7" t="s">
        <v>1329</v>
      </c>
      <c r="D7" s="2282"/>
      <c r="E7" s="1327"/>
      <c r="F7" s="1065"/>
      <c r="G7" s="924"/>
      <c r="H7" s="925"/>
      <c r="I7" s="926" t="s">
        <v>1364</v>
      </c>
      <c r="J7" s="927" t="e">
        <f>重み!M113</f>
        <v>#DIV/0!</v>
      </c>
      <c r="K7" s="1066"/>
      <c r="L7" s="1066"/>
      <c r="M7" s="1066"/>
      <c r="N7" s="1066"/>
      <c r="O7" s="1068"/>
    </row>
    <row r="8" spans="2:21" ht="14.5" hidden="1" thickBot="1">
      <c r="B8" s="1210">
        <v>0</v>
      </c>
      <c r="D8" s="2282"/>
      <c r="E8" s="1327"/>
      <c r="F8" s="930">
        <v>3</v>
      </c>
      <c r="G8" s="935" t="s">
        <v>1969</v>
      </c>
      <c r="H8" s="935"/>
      <c r="I8" s="935"/>
      <c r="J8" s="935"/>
      <c r="K8" s="935"/>
      <c r="L8" s="935"/>
      <c r="M8" s="1046"/>
      <c r="N8" s="1328"/>
      <c r="O8" s="936"/>
    </row>
    <row r="9" spans="2:21" ht="14" hidden="1">
      <c r="B9" s="1" t="s">
        <v>988</v>
      </c>
      <c r="C9" s="1">
        <v>1</v>
      </c>
      <c r="D9" s="2282"/>
      <c r="E9" s="1327"/>
      <c r="F9" s="1329"/>
      <c r="G9" s="1330" t="s">
        <v>1330</v>
      </c>
      <c r="H9" s="1330"/>
      <c r="I9" s="3416" t="s">
        <v>310</v>
      </c>
      <c r="J9" s="3417"/>
      <c r="K9" s="3416" t="s">
        <v>312</v>
      </c>
      <c r="L9" s="3417"/>
      <c r="M9" s="1331"/>
      <c r="N9" s="1332"/>
      <c r="O9" s="1294"/>
    </row>
    <row r="10" spans="2:21" ht="14" hidden="1">
      <c r="B10" s="1">
        <v>2</v>
      </c>
      <c r="C10" s="1">
        <v>3</v>
      </c>
      <c r="D10" s="2282"/>
      <c r="E10" s="1327"/>
      <c r="F10" s="1333" t="str">
        <f>IF(F8=$S$15,$T$10,IF(ROUNDDOWN(F8,0)=$S$10,$U$10,$T$10))</f>
        <v>　レベル　1</v>
      </c>
      <c r="G10" s="946" t="s">
        <v>2178</v>
      </c>
      <c r="H10" s="940"/>
      <c r="I10" s="946" t="s">
        <v>2178</v>
      </c>
      <c r="J10" s="940"/>
      <c r="K10" s="946" t="s">
        <v>2178</v>
      </c>
      <c r="L10" s="940"/>
      <c r="M10" s="3144"/>
      <c r="N10" s="3418"/>
      <c r="O10" s="3419"/>
      <c r="S10">
        <v>1</v>
      </c>
      <c r="T10" t="s">
        <v>2516</v>
      </c>
      <c r="U10" t="s">
        <v>1689</v>
      </c>
    </row>
    <row r="11" spans="2:21" ht="14" hidden="1">
      <c r="B11" s="1">
        <v>3</v>
      </c>
      <c r="C11" s="1">
        <v>3</v>
      </c>
      <c r="D11" s="2282"/>
      <c r="E11" s="1327"/>
      <c r="F11" s="1334" t="str">
        <f>IF(F8=$S$15,$T$11,IF(ROUNDDOWN(F8,0)=$S$11,$U$11,$T$11))</f>
        <v>　レベル　2</v>
      </c>
      <c r="G11" s="946" t="s">
        <v>2218</v>
      </c>
      <c r="H11" s="947"/>
      <c r="I11" s="946" t="s">
        <v>2218</v>
      </c>
      <c r="J11" s="947"/>
      <c r="K11" s="946" t="s">
        <v>2218</v>
      </c>
      <c r="L11" s="947"/>
      <c r="M11" s="3148"/>
      <c r="N11" s="3420"/>
      <c r="O11" s="3421"/>
      <c r="S11">
        <v>2</v>
      </c>
      <c r="T11" t="s">
        <v>1336</v>
      </c>
      <c r="U11" t="s">
        <v>1337</v>
      </c>
    </row>
    <row r="12" spans="2:21" ht="14" hidden="1">
      <c r="B12" s="1">
        <v>4</v>
      </c>
      <c r="C12" s="1">
        <v>4</v>
      </c>
      <c r="D12" s="2282"/>
      <c r="E12" s="1327"/>
      <c r="F12" s="1334" t="str">
        <f>IF(F8=$S$15,$T$12,IF(ROUNDDOWN(F8,0)=$S$12,$U$12,$T$12))</f>
        <v>■レベル　3</v>
      </c>
      <c r="G12" s="3148" t="s">
        <v>1331</v>
      </c>
      <c r="H12" s="3413"/>
      <c r="I12" s="3148" t="s">
        <v>1332</v>
      </c>
      <c r="J12" s="3413"/>
      <c r="K12" s="3148" t="s">
        <v>337</v>
      </c>
      <c r="L12" s="3413"/>
      <c r="M12" s="3148"/>
      <c r="N12" s="3420"/>
      <c r="O12" s="3421"/>
      <c r="S12">
        <v>3</v>
      </c>
      <c r="T12" t="s">
        <v>1342</v>
      </c>
      <c r="U12" t="s">
        <v>1343</v>
      </c>
    </row>
    <row r="13" spans="2:21" ht="14" hidden="1">
      <c r="B13" s="1">
        <v>5</v>
      </c>
      <c r="C13" s="1">
        <v>5</v>
      </c>
      <c r="D13" s="2282"/>
      <c r="E13" s="1327"/>
      <c r="F13" s="1334" t="str">
        <f>IF(F8=$S$15,$T$13,IF(ROUNDDOWN(F8,0)=$S$13,$U$13,$T$13))</f>
        <v>　レベル　4</v>
      </c>
      <c r="G13" s="3148" t="s">
        <v>338</v>
      </c>
      <c r="H13" s="3413"/>
      <c r="I13" s="3148" t="s">
        <v>1042</v>
      </c>
      <c r="J13" s="3413"/>
      <c r="K13" s="3148" t="s">
        <v>1043</v>
      </c>
      <c r="L13" s="3413"/>
      <c r="M13" s="3148"/>
      <c r="N13" s="3165"/>
      <c r="O13" s="3192"/>
      <c r="S13">
        <v>4</v>
      </c>
      <c r="T13" t="s">
        <v>1221</v>
      </c>
      <c r="U13" t="s">
        <v>1222</v>
      </c>
    </row>
    <row r="14" spans="2:21" ht="14" hidden="1">
      <c r="B14" s="960">
        <v>0</v>
      </c>
      <c r="C14" s="960">
        <v>0</v>
      </c>
      <c r="D14" s="2282"/>
      <c r="E14" s="1327"/>
      <c r="F14" s="1335" t="str">
        <f>IF(F8=$S$15,$T$14,IF(ROUNDDOWN(F8,0)=$S$14,$U$14,$T$14))</f>
        <v>　レベル　5</v>
      </c>
      <c r="G14" s="3148" t="s">
        <v>1044</v>
      </c>
      <c r="H14" s="3413"/>
      <c r="I14" s="3148" t="s">
        <v>1044</v>
      </c>
      <c r="J14" s="3413"/>
      <c r="K14" s="3148" t="s">
        <v>1045</v>
      </c>
      <c r="L14" s="3413"/>
      <c r="M14" s="3146"/>
      <c r="N14" s="3422"/>
      <c r="O14" s="3423"/>
      <c r="S14">
        <v>5</v>
      </c>
      <c r="T14" t="s">
        <v>1228</v>
      </c>
      <c r="U14" t="s">
        <v>1229</v>
      </c>
    </row>
    <row r="15" spans="2:21" ht="15.75" customHeight="1">
      <c r="D15" s="2282"/>
      <c r="E15" s="1327"/>
      <c r="F15" s="2129" t="s">
        <v>2582</v>
      </c>
      <c r="G15" s="1065"/>
      <c r="H15" s="925"/>
      <c r="I15" s="926" t="s">
        <v>1364</v>
      </c>
      <c r="J15" s="927" t="e">
        <f>重み!M123</f>
        <v>#DIV/0!</v>
      </c>
      <c r="K15" s="1066"/>
      <c r="L15" s="1066"/>
      <c r="M15" s="2484"/>
      <c r="N15" s="2485"/>
      <c r="O15" s="2489"/>
      <c r="S15">
        <v>0</v>
      </c>
      <c r="T15" t="s">
        <v>1690</v>
      </c>
      <c r="U15" t="s">
        <v>1690</v>
      </c>
    </row>
    <row r="16" spans="2:21" ht="15.5">
      <c r="D16" s="2283"/>
      <c r="E16" s="1323"/>
      <c r="F16" s="3398">
        <f>IF(H23=$T$4,F23,ROUNDDOWN(計画書!H18,1))</f>
        <v>0</v>
      </c>
      <c r="G16" s="3398">
        <f>計画書!J15</f>
        <v>3.0000000000000018</v>
      </c>
      <c r="H16" s="935" t="s">
        <v>2567</v>
      </c>
      <c r="I16" s="935"/>
      <c r="J16" s="935"/>
      <c r="K16" s="1164">
        <f>計画書!G15</f>
        <v>0</v>
      </c>
      <c r="L16" s="3414">
        <f>計画書!J16</f>
        <v>3</v>
      </c>
      <c r="M16" s="2486"/>
      <c r="N16" s="2487"/>
      <c r="O16" s="2488">
        <f>メイン!C64</f>
        <v>0</v>
      </c>
    </row>
    <row r="17" spans="2:256" ht="15.75" customHeight="1">
      <c r="D17" s="2283"/>
      <c r="E17" s="1323"/>
      <c r="F17" s="3399"/>
      <c r="G17" s="3399"/>
      <c r="H17" s="1339" t="s">
        <v>2489</v>
      </c>
      <c r="I17" s="1339"/>
      <c r="J17" s="1046" t="s">
        <v>78</v>
      </c>
      <c r="K17" s="936"/>
      <c r="L17" s="3415"/>
      <c r="M17" s="2490" t="s">
        <v>1905</v>
      </c>
      <c r="N17" s="2491"/>
      <c r="O17" s="2492"/>
    </row>
    <row r="18" spans="2:256" ht="27" customHeight="1">
      <c r="B18" s="1">
        <v>1</v>
      </c>
      <c r="C18" s="1">
        <v>1</v>
      </c>
      <c r="D18" s="2283"/>
      <c r="E18" s="1323"/>
      <c r="F18" s="1333" t="str">
        <f>IF(F16=$S$15,$T$10,IF(ROUNDDOWN(F16,0)=$S$10,$U$10,$T$10))</f>
        <v>　レベル　1</v>
      </c>
      <c r="G18" s="1333" t="str">
        <f>IF(G16=$S$15,$T$10,IF(ROUNDDOWN(G16,0)=$S$10,$U$10,$T$10))</f>
        <v>　レベル　1</v>
      </c>
      <c r="H18" s="3407" t="s">
        <v>3182</v>
      </c>
      <c r="I18" s="3408"/>
      <c r="J18" s="3407" t="s">
        <v>3183</v>
      </c>
      <c r="K18" s="3408"/>
      <c r="L18" s="1333" t="str">
        <f>IF(L16=$S$15,$T$10,IF(ROUNDDOWN(L16,0)=$S$10,$U$10,$T$10))</f>
        <v>　レベル　1</v>
      </c>
      <c r="M18" s="3238" t="s">
        <v>3385</v>
      </c>
      <c r="N18" s="3342"/>
      <c r="O18" s="3343"/>
    </row>
    <row r="19" spans="2:256" ht="27" customHeight="1">
      <c r="B19" s="1">
        <v>2</v>
      </c>
      <c r="C19" s="1">
        <v>2</v>
      </c>
      <c r="D19" s="2283"/>
      <c r="E19" s="1323"/>
      <c r="F19" s="1334" t="str">
        <f>IF(F16=$S$15,$T$11,IF(ROUNDDOWN(F16,0)=$S$11,$U$11,$T$11))</f>
        <v>　レベル　2</v>
      </c>
      <c r="G19" s="1334" t="str">
        <f>IF(G16=$S$15,$T$11,IF(ROUNDDOWN(G16,0)=$S$11,$U$11,$T$11))</f>
        <v>　レベル　2</v>
      </c>
      <c r="H19" s="3409"/>
      <c r="I19" s="3410"/>
      <c r="J19" s="3409"/>
      <c r="K19" s="3410"/>
      <c r="L19" s="1334" t="str">
        <f>IF(L16=$S$15,$T$11,IF(ROUNDDOWN(L16,0)=$S$11,$U$11,$T$11))</f>
        <v>　レベル　2</v>
      </c>
      <c r="M19" s="3148" t="s">
        <v>3386</v>
      </c>
      <c r="N19" s="3314"/>
      <c r="O19" s="3315"/>
    </row>
    <row r="20" spans="2:256" ht="27" customHeight="1">
      <c r="B20" s="1">
        <v>3</v>
      </c>
      <c r="C20" s="1">
        <v>3</v>
      </c>
      <c r="D20" s="2283"/>
      <c r="E20" s="1323"/>
      <c r="F20" s="2770" t="str">
        <f>IF(F16=$S$15,$T$12,IF(ROUNDDOWN(F16,0)=$S$12,$U$12,$T$12))</f>
        <v>　レベル　3</v>
      </c>
      <c r="G20" s="1334" t="str">
        <f>IF(G16=$S$15,$T$12,IF(ROUNDDOWN(G16,0)=$S$12,$U$12,$T$12))</f>
        <v>■レベル　3</v>
      </c>
      <c r="H20" s="3409"/>
      <c r="I20" s="3410"/>
      <c r="J20" s="3409"/>
      <c r="K20" s="3410"/>
      <c r="L20" s="1334" t="str">
        <f>IF(L16=$S$15,$T$12,IF(ROUNDDOWN(L16,0)=$S$12,$U$12,$T$12))</f>
        <v>■レベル　3</v>
      </c>
      <c r="M20" s="3148" t="s">
        <v>3387</v>
      </c>
      <c r="N20" s="3165"/>
      <c r="O20" s="3192"/>
    </row>
    <row r="21" spans="2:256" ht="27" customHeight="1">
      <c r="B21" s="1">
        <v>4</v>
      </c>
      <c r="C21" s="1">
        <v>4</v>
      </c>
      <c r="D21" s="908"/>
      <c r="E21" s="1042"/>
      <c r="F21" s="1334" t="str">
        <f>IF(F16=$S$15,$T$13,IF(ROUNDDOWN(F16,0)=$S$13,$U$13,$T$13))</f>
        <v>　レベル　4</v>
      </c>
      <c r="G21" s="1334" t="str">
        <f>IF(G16=$S$15,$T$13,IF(ROUNDDOWN(G16,0)=$S$13,$U$13,$T$13))</f>
        <v>　レベル　4</v>
      </c>
      <c r="H21" s="3409"/>
      <c r="I21" s="3410"/>
      <c r="J21" s="3409"/>
      <c r="K21" s="3410"/>
      <c r="L21" s="1334" t="str">
        <f>IF(L16=$S$15,$T$13,IF(ROUNDDOWN(L16,0)=$S$13,$U$13,$T$13))</f>
        <v>　レベル　4</v>
      </c>
      <c r="M21" s="3148" t="s">
        <v>3407</v>
      </c>
      <c r="N21" s="3165"/>
      <c r="O21" s="3192"/>
    </row>
    <row r="22" spans="2:256" ht="27" customHeight="1" thickBot="1">
      <c r="B22" s="1">
        <v>5</v>
      </c>
      <c r="C22" s="1">
        <v>5</v>
      </c>
      <c r="D22" s="908"/>
      <c r="E22" s="1042"/>
      <c r="F22" s="1335" t="str">
        <f>IF(F16=$S$15,$T$14,IF(ROUNDDOWN(F16,0)=$S$14,$U$14,$T$14))</f>
        <v>　レベル　5</v>
      </c>
      <c r="G22" s="1335" t="str">
        <f>IF(G16=$S$15,$T$14,IF(ROUNDDOWN(G16,0)=$S$14,$U$14,$T$14))</f>
        <v>　レベル　5</v>
      </c>
      <c r="H22" s="3411"/>
      <c r="I22" s="3412"/>
      <c r="J22" s="3411"/>
      <c r="K22" s="3412"/>
      <c r="L22" s="1335" t="str">
        <f>IF(L16=$S$15,$T$14,IF(ROUNDDOWN(L16,0)=$S$14,$U$14,$T$14))</f>
        <v>　レベル　5</v>
      </c>
      <c r="M22" s="2469" t="s">
        <v>3181</v>
      </c>
      <c r="N22" s="2470"/>
      <c r="O22" s="959"/>
    </row>
    <row r="23" spans="2:256" ht="16" thickBot="1">
      <c r="B23" s="960">
        <v>0</v>
      </c>
      <c r="C23" s="960">
        <v>0</v>
      </c>
      <c r="D23" s="908"/>
      <c r="E23" s="2040"/>
      <c r="F23" s="930">
        <v>0</v>
      </c>
      <c r="G23" s="1158" t="s">
        <v>2666</v>
      </c>
      <c r="H23" s="2328" t="s">
        <v>3339</v>
      </c>
      <c r="I23" s="2040"/>
      <c r="J23" s="2040"/>
      <c r="K23" s="2040"/>
      <c r="L23" s="2040"/>
      <c r="M23" s="2040"/>
      <c r="N23" s="2040"/>
      <c r="O23" s="2040"/>
      <c r="P23" s="2040"/>
      <c r="Q23" s="2040"/>
      <c r="R23" s="2040"/>
      <c r="S23" s="2040"/>
      <c r="T23" s="2040"/>
      <c r="U23" s="2040"/>
      <c r="V23" s="2040"/>
      <c r="W23" s="2040"/>
      <c r="X23" s="2040"/>
      <c r="Y23" s="2040"/>
      <c r="Z23" s="2040"/>
      <c r="AA23" s="2040"/>
      <c r="AB23" s="2040"/>
      <c r="AC23" s="2040"/>
      <c r="AD23" s="2040"/>
      <c r="AE23" s="2040"/>
      <c r="AF23" s="2040"/>
      <c r="AG23" s="2040"/>
      <c r="AH23" s="2040"/>
      <c r="AI23" s="2040"/>
      <c r="AJ23" s="2040"/>
      <c r="AK23" s="2040"/>
      <c r="AL23" s="2040"/>
      <c r="AM23" s="2040"/>
      <c r="AN23" s="2040"/>
      <c r="AO23" s="2040"/>
      <c r="AP23" s="2040"/>
      <c r="AQ23" s="2040"/>
      <c r="AR23" s="2040"/>
      <c r="AS23" s="2040"/>
      <c r="AT23" s="2040"/>
      <c r="AU23" s="2040"/>
      <c r="AV23" s="2040"/>
      <c r="AW23" s="2040"/>
      <c r="AX23" s="2040"/>
      <c r="AY23" s="2040"/>
      <c r="AZ23" s="2040"/>
      <c r="BA23" s="2040"/>
      <c r="BB23" s="2040"/>
      <c r="BC23" s="2040"/>
      <c r="BD23" s="2040"/>
      <c r="BE23" s="2040"/>
      <c r="BF23" s="2040"/>
      <c r="BG23" s="2040"/>
      <c r="BH23" s="2040"/>
      <c r="BI23" s="2040"/>
      <c r="BJ23" s="2040"/>
      <c r="BK23" s="2040"/>
      <c r="BL23" s="2040"/>
      <c r="BM23" s="2040"/>
      <c r="BN23" s="2040"/>
      <c r="BO23" s="2040"/>
      <c r="BP23" s="2040"/>
      <c r="BQ23" s="2040"/>
      <c r="BR23" s="2040"/>
      <c r="BS23" s="2040"/>
      <c r="BT23" s="2040"/>
      <c r="BU23" s="2040"/>
      <c r="BV23" s="2040"/>
      <c r="BW23" s="2040"/>
      <c r="BX23" s="2040"/>
      <c r="BY23" s="2040"/>
      <c r="BZ23" s="2040"/>
      <c r="CA23" s="2040"/>
      <c r="CB23" s="2040"/>
      <c r="CC23" s="2040"/>
      <c r="CD23" s="2040"/>
      <c r="CE23" s="2040"/>
      <c r="CF23" s="2040"/>
      <c r="CG23" s="2040"/>
      <c r="CH23" s="2040"/>
      <c r="CI23" s="2040"/>
      <c r="CJ23" s="2040"/>
      <c r="CK23" s="2040"/>
      <c r="CL23" s="2040"/>
      <c r="CM23" s="2040"/>
      <c r="CN23" s="2040"/>
      <c r="CO23" s="2040"/>
      <c r="CP23" s="2040"/>
      <c r="CQ23" s="2040"/>
      <c r="CR23" s="2040"/>
      <c r="CS23" s="2040"/>
      <c r="CT23" s="2040"/>
      <c r="CU23" s="2040"/>
      <c r="CV23" s="2040"/>
      <c r="CW23" s="2040"/>
      <c r="CX23" s="2040"/>
      <c r="CY23" s="2040"/>
      <c r="CZ23" s="2040"/>
      <c r="DA23" s="2040"/>
      <c r="DB23" s="2040"/>
      <c r="DC23" s="2040"/>
      <c r="DD23" s="2040"/>
      <c r="DE23" s="2040"/>
      <c r="DF23" s="2040"/>
      <c r="DG23" s="2040"/>
      <c r="DH23" s="2040"/>
      <c r="DI23" s="2040"/>
      <c r="DJ23" s="2040"/>
      <c r="DK23" s="2040"/>
      <c r="DL23" s="2040"/>
      <c r="DM23" s="2040"/>
      <c r="DN23" s="2040"/>
      <c r="DO23" s="2040"/>
      <c r="DP23" s="2040"/>
      <c r="DQ23" s="2040"/>
      <c r="DR23" s="2040"/>
      <c r="DS23" s="2040"/>
      <c r="DT23" s="2040"/>
      <c r="DU23" s="2040"/>
      <c r="DV23" s="2040"/>
      <c r="DW23" s="2040"/>
      <c r="DX23" s="2040"/>
      <c r="DY23" s="2040"/>
      <c r="DZ23" s="2040"/>
      <c r="EA23" s="2040"/>
      <c r="EB23" s="2040"/>
      <c r="EC23" s="2040"/>
      <c r="ED23" s="2040"/>
      <c r="EE23" s="2040"/>
      <c r="EF23" s="2040"/>
      <c r="EG23" s="2040"/>
      <c r="EH23" s="2040"/>
      <c r="EI23" s="2040"/>
      <c r="EJ23" s="2040"/>
      <c r="EK23" s="2040"/>
      <c r="EL23" s="2040"/>
      <c r="EM23" s="2040"/>
      <c r="EN23" s="2040"/>
      <c r="EO23" s="2040"/>
      <c r="EP23" s="2040"/>
      <c r="EQ23" s="2040"/>
      <c r="ER23" s="2040"/>
      <c r="ES23" s="2040"/>
      <c r="ET23" s="2040"/>
      <c r="EU23" s="2040"/>
      <c r="EV23" s="2040"/>
      <c r="EW23" s="2040"/>
      <c r="EX23" s="2040"/>
      <c r="EY23" s="2040"/>
      <c r="EZ23" s="2040"/>
      <c r="FA23" s="2040"/>
      <c r="FB23" s="2040"/>
      <c r="FC23" s="2040"/>
      <c r="FD23" s="2040"/>
      <c r="FE23" s="2040"/>
      <c r="FF23" s="2040"/>
      <c r="FG23" s="2040"/>
      <c r="FH23" s="2040"/>
      <c r="FI23" s="2040"/>
      <c r="FJ23" s="2040"/>
      <c r="FK23" s="2040"/>
      <c r="FL23" s="2040"/>
      <c r="FM23" s="2040"/>
      <c r="FN23" s="2040"/>
      <c r="FO23" s="2040"/>
      <c r="FP23" s="2040"/>
      <c r="FQ23" s="2040"/>
      <c r="FR23" s="2040"/>
      <c r="FS23" s="2040"/>
      <c r="FT23" s="2040"/>
      <c r="FU23" s="2040"/>
      <c r="FV23" s="2040"/>
      <c r="FW23" s="2040"/>
      <c r="FX23" s="2040"/>
      <c r="FY23" s="2040"/>
      <c r="FZ23" s="2040"/>
      <c r="GA23" s="2040"/>
      <c r="GB23" s="2040"/>
      <c r="GC23" s="2040"/>
      <c r="GD23" s="2040"/>
      <c r="GE23" s="2040"/>
      <c r="GF23" s="2040"/>
      <c r="GG23" s="2040"/>
      <c r="GH23" s="2040"/>
      <c r="GI23" s="2040"/>
      <c r="GJ23" s="2040"/>
      <c r="GK23" s="2040"/>
      <c r="GL23" s="2040"/>
      <c r="GM23" s="2040"/>
      <c r="GN23" s="2040"/>
      <c r="GO23" s="2040"/>
      <c r="GP23" s="2040"/>
      <c r="GQ23" s="2040"/>
      <c r="GR23" s="2040"/>
      <c r="GS23" s="2040"/>
      <c r="GT23" s="2040"/>
      <c r="GU23" s="2040"/>
      <c r="GV23" s="2040"/>
      <c r="GW23" s="2040"/>
      <c r="GX23" s="2040"/>
      <c r="GY23" s="2040"/>
      <c r="GZ23" s="2040"/>
      <c r="HA23" s="2040"/>
      <c r="HB23" s="2040"/>
      <c r="HC23" s="2040"/>
      <c r="HD23" s="2040"/>
      <c r="HE23" s="2040"/>
      <c r="HF23" s="2040"/>
      <c r="HG23" s="2040"/>
      <c r="HH23" s="2040"/>
      <c r="HI23" s="2040"/>
      <c r="HJ23" s="2040"/>
      <c r="HK23" s="2040"/>
      <c r="HL23" s="2040"/>
      <c r="HM23" s="2040"/>
      <c r="HN23" s="2040"/>
      <c r="HO23" s="2040"/>
      <c r="HP23" s="2040"/>
      <c r="HQ23" s="2040"/>
      <c r="HR23" s="2040"/>
      <c r="HS23" s="2040"/>
      <c r="HT23" s="2040"/>
      <c r="HU23" s="2040"/>
      <c r="HV23" s="2040"/>
      <c r="HW23" s="2040"/>
      <c r="HX23" s="2040"/>
      <c r="HY23" s="2040"/>
      <c r="HZ23" s="2040"/>
      <c r="IA23" s="2040"/>
      <c r="IB23" s="2040"/>
      <c r="IC23" s="2040"/>
      <c r="ID23" s="2040"/>
      <c r="IE23" s="2040"/>
      <c r="IF23" s="2040"/>
      <c r="IG23" s="2040"/>
      <c r="IH23" s="2040"/>
      <c r="II23" s="2040"/>
      <c r="IJ23" s="2040"/>
      <c r="IK23" s="2040"/>
      <c r="IL23" s="2040"/>
      <c r="IM23" s="2040"/>
      <c r="IN23" s="2040"/>
      <c r="IO23" s="2040"/>
      <c r="IP23" s="2040"/>
      <c r="IQ23" s="2040"/>
      <c r="IR23" s="2040"/>
      <c r="IS23" s="2040"/>
      <c r="IT23" s="2040"/>
      <c r="IU23" s="2040"/>
      <c r="IV23" s="2040"/>
    </row>
    <row r="24" spans="2:256" s="2687" customFormat="1" ht="15.5" hidden="1">
      <c r="B24" s="1630"/>
      <c r="C24" s="1630"/>
      <c r="D24" s="908"/>
      <c r="E24" s="908"/>
      <c r="F24" s="2855" t="s">
        <v>3372</v>
      </c>
      <c r="G24" s="908"/>
      <c r="H24" s="908"/>
      <c r="I24" s="908"/>
      <c r="J24" s="908"/>
      <c r="K24" s="2040"/>
      <c r="L24" s="2040"/>
      <c r="M24" s="2040"/>
      <c r="N24" s="2040"/>
      <c r="O24" s="2040"/>
      <c r="P24" s="2040"/>
      <c r="Q24" s="2040"/>
      <c r="R24" s="2040"/>
      <c r="S24" s="2040"/>
      <c r="T24" s="2040"/>
      <c r="U24" s="2040"/>
      <c r="V24" s="2040"/>
      <c r="W24" s="2040"/>
      <c r="X24" s="2040"/>
      <c r="Y24" s="2040"/>
      <c r="Z24" s="2040"/>
      <c r="AA24" s="2040"/>
      <c r="AB24" s="2040"/>
      <c r="AC24" s="2040"/>
      <c r="AD24" s="2040"/>
      <c r="AE24" s="2040"/>
      <c r="AF24" s="2040"/>
      <c r="AG24" s="2040"/>
      <c r="AH24" s="2040"/>
      <c r="AI24" s="2040"/>
      <c r="AJ24" s="2040"/>
      <c r="AK24" s="2040"/>
      <c r="AL24" s="2040"/>
      <c r="AM24" s="2040"/>
      <c r="AN24" s="2040"/>
      <c r="AO24" s="2040"/>
      <c r="AP24" s="2040"/>
      <c r="AQ24" s="2040"/>
      <c r="AR24" s="2040"/>
      <c r="AS24" s="2040"/>
      <c r="AT24" s="2040"/>
      <c r="AU24" s="2040"/>
      <c r="AV24" s="2040"/>
      <c r="AW24" s="2040"/>
      <c r="AX24" s="2040"/>
      <c r="AY24" s="2040"/>
      <c r="AZ24" s="2040"/>
      <c r="BA24" s="2040"/>
      <c r="BB24" s="2040"/>
      <c r="BC24" s="2040"/>
      <c r="BD24" s="2040"/>
      <c r="BE24" s="2040"/>
      <c r="BF24" s="2040"/>
      <c r="BG24" s="2040"/>
      <c r="BH24" s="2040"/>
      <c r="BI24" s="2040"/>
      <c r="BJ24" s="2040"/>
      <c r="BK24" s="2040"/>
      <c r="BL24" s="2040"/>
      <c r="BM24" s="2040"/>
      <c r="BN24" s="2040"/>
      <c r="BO24" s="2040"/>
      <c r="BP24" s="2040"/>
      <c r="BQ24" s="2040"/>
      <c r="BR24" s="2040"/>
      <c r="BS24" s="2040"/>
      <c r="BT24" s="2040"/>
      <c r="BU24" s="2040"/>
      <c r="BV24" s="2040"/>
      <c r="BW24" s="2040"/>
      <c r="BX24" s="2040"/>
      <c r="BY24" s="2040"/>
      <c r="BZ24" s="2040"/>
      <c r="CA24" s="2040"/>
      <c r="CB24" s="2040"/>
      <c r="CC24" s="2040"/>
      <c r="CD24" s="2040"/>
      <c r="CE24" s="2040"/>
      <c r="CF24" s="2040"/>
      <c r="CG24" s="2040"/>
      <c r="CH24" s="2040"/>
      <c r="CI24" s="2040"/>
      <c r="CJ24" s="2040"/>
      <c r="CK24" s="2040"/>
      <c r="CL24" s="2040"/>
      <c r="CM24" s="2040"/>
      <c r="CN24" s="2040"/>
      <c r="CO24" s="2040"/>
      <c r="CP24" s="2040"/>
      <c r="CQ24" s="2040"/>
      <c r="CR24" s="2040"/>
      <c r="CS24" s="2040"/>
      <c r="CT24" s="2040"/>
      <c r="CU24" s="2040"/>
      <c r="CV24" s="2040"/>
      <c r="CW24" s="2040"/>
      <c r="CX24" s="2040"/>
      <c r="CY24" s="2040"/>
      <c r="CZ24" s="2040"/>
      <c r="DA24" s="2040"/>
      <c r="DB24" s="2040"/>
      <c r="DC24" s="2040"/>
      <c r="DD24" s="2040"/>
      <c r="DE24" s="2040"/>
      <c r="DF24" s="2040"/>
      <c r="DG24" s="2040"/>
      <c r="DH24" s="2040"/>
      <c r="DI24" s="2040"/>
      <c r="DJ24" s="2040"/>
      <c r="DK24" s="2040"/>
      <c r="DL24" s="2040"/>
      <c r="DM24" s="2040"/>
      <c r="DN24" s="2040"/>
      <c r="DO24" s="2040"/>
      <c r="DP24" s="2040"/>
      <c r="DQ24" s="2040"/>
      <c r="DR24" s="2040"/>
      <c r="DS24" s="2040"/>
      <c r="DT24" s="2040"/>
      <c r="DU24" s="2040"/>
      <c r="DV24" s="2040"/>
      <c r="DW24" s="2040"/>
      <c r="DX24" s="2040"/>
      <c r="DY24" s="2040"/>
      <c r="DZ24" s="2040"/>
      <c r="EA24" s="2040"/>
      <c r="EB24" s="2040"/>
      <c r="EC24" s="2040"/>
      <c r="ED24" s="2040"/>
      <c r="EE24" s="2040"/>
      <c r="EF24" s="2040"/>
      <c r="EG24" s="2040"/>
      <c r="EH24" s="2040"/>
      <c r="EI24" s="2040"/>
      <c r="EJ24" s="2040"/>
      <c r="EK24" s="2040"/>
      <c r="EL24" s="2040"/>
      <c r="EM24" s="2040"/>
      <c r="EN24" s="2040"/>
      <c r="EO24" s="2040"/>
      <c r="EP24" s="2040"/>
      <c r="EQ24" s="2040"/>
      <c r="ER24" s="2040"/>
      <c r="ES24" s="2040"/>
      <c r="ET24" s="2040"/>
      <c r="EU24" s="2040"/>
      <c r="EV24" s="2040"/>
      <c r="EW24" s="2040"/>
      <c r="EX24" s="2040"/>
      <c r="EY24" s="2040"/>
      <c r="EZ24" s="2040"/>
      <c r="FA24" s="2040"/>
      <c r="FB24" s="2040"/>
      <c r="FC24" s="2040"/>
      <c r="FD24" s="2040"/>
      <c r="FE24" s="2040"/>
      <c r="FF24" s="2040"/>
      <c r="FG24" s="2040"/>
      <c r="FH24" s="2040"/>
      <c r="FI24" s="2040"/>
      <c r="FJ24" s="2040"/>
      <c r="FK24" s="2040"/>
      <c r="FL24" s="2040"/>
      <c r="FM24" s="2040"/>
      <c r="FN24" s="2040"/>
      <c r="FO24" s="2040"/>
      <c r="FP24" s="2040"/>
      <c r="FQ24" s="2040"/>
      <c r="FR24" s="2040"/>
      <c r="FS24" s="2040"/>
      <c r="FT24" s="2040"/>
      <c r="FU24" s="2040"/>
      <c r="FV24" s="2040"/>
      <c r="FW24" s="2040"/>
      <c r="FX24" s="2040"/>
      <c r="FY24" s="2040"/>
      <c r="FZ24" s="2040"/>
      <c r="GA24" s="2040"/>
      <c r="GB24" s="2040"/>
      <c r="GC24" s="2040"/>
      <c r="GD24" s="2040"/>
      <c r="GE24" s="2040"/>
      <c r="GF24" s="2040"/>
      <c r="GG24" s="2040"/>
      <c r="GH24" s="2040"/>
      <c r="GI24" s="2040"/>
      <c r="GJ24" s="2040"/>
      <c r="GK24" s="2040"/>
      <c r="GL24" s="2040"/>
      <c r="GM24" s="2040"/>
      <c r="GN24" s="2040"/>
      <c r="GO24" s="2040"/>
      <c r="GP24" s="2040"/>
      <c r="GQ24" s="2040"/>
      <c r="GR24" s="2040"/>
      <c r="GS24" s="2040"/>
      <c r="GT24" s="2040"/>
      <c r="GU24" s="2040"/>
      <c r="GV24" s="2040"/>
      <c r="GW24" s="2040"/>
      <c r="GX24" s="2040"/>
      <c r="GY24" s="2040"/>
      <c r="GZ24" s="2040"/>
      <c r="HA24" s="2040"/>
      <c r="HB24" s="2040"/>
      <c r="HC24" s="2040"/>
      <c r="HD24" s="2040"/>
      <c r="HE24" s="2040"/>
      <c r="HF24" s="2040"/>
      <c r="HG24" s="2040"/>
      <c r="HH24" s="2040"/>
      <c r="HI24" s="2040"/>
      <c r="HJ24" s="2040"/>
      <c r="HK24" s="2040"/>
      <c r="HL24" s="2040"/>
      <c r="HM24" s="2040"/>
      <c r="HN24" s="2040"/>
      <c r="HO24" s="2040"/>
      <c r="HP24" s="2040"/>
      <c r="HQ24" s="2040"/>
      <c r="HR24" s="2040"/>
      <c r="HS24" s="2040"/>
      <c r="HT24" s="2040"/>
      <c r="HU24" s="2040"/>
      <c r="HV24" s="2040"/>
      <c r="HW24" s="2040"/>
      <c r="HX24" s="2040"/>
      <c r="HY24" s="2040"/>
      <c r="HZ24" s="2040"/>
      <c r="IA24" s="2040"/>
      <c r="IB24" s="2040"/>
      <c r="IC24" s="2040"/>
      <c r="ID24" s="2040"/>
      <c r="IE24" s="2040"/>
      <c r="IF24" s="2040"/>
      <c r="IG24" s="2040"/>
      <c r="IH24" s="2040"/>
      <c r="II24" s="2040"/>
      <c r="IJ24" s="2040"/>
      <c r="IK24" s="2040"/>
      <c r="IL24" s="2040"/>
      <c r="IM24" s="2040"/>
      <c r="IN24" s="2040"/>
      <c r="IO24" s="2040"/>
      <c r="IP24" s="2040"/>
      <c r="IQ24" s="2040"/>
      <c r="IR24" s="2040"/>
      <c r="IS24" s="2040"/>
      <c r="IT24" s="2040"/>
      <c r="IU24" s="2040"/>
      <c r="IV24" s="2040"/>
    </row>
    <row r="25" spans="2:256" ht="15.5">
      <c r="D25" s="2283"/>
      <c r="E25" s="1323"/>
      <c r="H25"/>
      <c r="I25"/>
      <c r="J25"/>
      <c r="K25"/>
      <c r="L25"/>
      <c r="M25"/>
      <c r="N25"/>
      <c r="O25"/>
    </row>
    <row r="26" spans="2:256" ht="15.5">
      <c r="D26" s="908">
        <v>2</v>
      </c>
      <c r="E26" s="917" t="s">
        <v>2493</v>
      </c>
      <c r="F26" s="917"/>
      <c r="G26" s="917"/>
      <c r="H26" s="917"/>
      <c r="I26" s="1342"/>
      <c r="J26" s="999" t="str">
        <f>IF(OR(F28=0,AND(J28=0,O28=0)),$R$3,"")</f>
        <v>&lt;評価しない&gt;</v>
      </c>
      <c r="K26" s="1342"/>
      <c r="L26" s="1342"/>
      <c r="M26" s="1343"/>
    </row>
    <row r="27" spans="2:256" ht="16" thickBot="1">
      <c r="D27" s="908"/>
      <c r="E27" s="917"/>
      <c r="F27" s="923"/>
      <c r="G27" s="2094"/>
      <c r="H27" s="925"/>
      <c r="I27" s="926" t="s">
        <v>1364</v>
      </c>
      <c r="J27" s="927" t="e">
        <f>重み!M124</f>
        <v>#DIV/0!</v>
      </c>
      <c r="K27" s="1066"/>
      <c r="L27" s="1066"/>
      <c r="M27" s="1066"/>
      <c r="N27" s="1066"/>
      <c r="O27" s="936"/>
    </row>
    <row r="28" spans="2:256" ht="27" customHeight="1" thickBot="1">
      <c r="D28" s="908"/>
      <c r="E28" s="917"/>
      <c r="F28" s="2772">
        <f>IF((J28+O28)=0,0,IF(AND(G28=0,O28&gt;0),L28,G28*J28/(J28+O28)+L28*O28/(J28+O28)))</f>
        <v>0</v>
      </c>
      <c r="G28" s="2772">
        <f>IF(H34=T4,F34,IF(COUNTIF(H39:H42,"○")&lt;1,3,IF(COUNTIF(H39:H42,"○")&gt;=1,IF(I36&lt;15,4,5))))</f>
        <v>3</v>
      </c>
      <c r="H28" s="3263" t="s">
        <v>1020</v>
      </c>
      <c r="I28" s="3435"/>
      <c r="J28" s="1164">
        <f>計画書!H118</f>
        <v>0</v>
      </c>
      <c r="K28" s="1339" t="s">
        <v>3045</v>
      </c>
      <c r="L28" s="930">
        <v>3</v>
      </c>
      <c r="M28" s="1344" t="s">
        <v>1497</v>
      </c>
      <c r="N28" s="1345"/>
      <c r="O28" s="1164">
        <f>計画書!H117</f>
        <v>0</v>
      </c>
    </row>
    <row r="29" spans="2:256" ht="21" customHeight="1">
      <c r="B29" s="1" t="s">
        <v>2842</v>
      </c>
      <c r="C29" s="1" t="s">
        <v>2842</v>
      </c>
      <c r="D29" s="908"/>
      <c r="E29" s="908"/>
      <c r="F29" s="1362" t="str">
        <f>IF(F28=$S$15,"",IF(ROUNDDOWN(F28,0)=$S$10,$U$10,$T$10))</f>
        <v/>
      </c>
      <c r="G29" s="1362" t="str">
        <f>IF(G28=$S$15,"",IF(ROUNDDOWN(G28,0)=$S$10,$U$10,$T$10))</f>
        <v>　レベル　1</v>
      </c>
      <c r="H29" s="939" t="s">
        <v>2178</v>
      </c>
      <c r="I29" s="940"/>
      <c r="J29" s="940"/>
      <c r="K29" s="3436" t="s">
        <v>3185</v>
      </c>
      <c r="L29" s="1362" t="str">
        <f>IF(L28=$S$15,"",IF(ROUNDDOWN(L28,0)=$S$10,$U$10,$T$10))</f>
        <v>　レベル　1</v>
      </c>
      <c r="M29" s="2419" t="s">
        <v>2178</v>
      </c>
      <c r="N29" s="2418"/>
      <c r="O29" s="941"/>
    </row>
    <row r="30" spans="2:256" ht="21" customHeight="1">
      <c r="B30" s="1" t="s">
        <v>2842</v>
      </c>
      <c r="C30" s="1">
        <v>2</v>
      </c>
      <c r="D30" s="908"/>
      <c r="E30" s="908"/>
      <c r="F30" s="1363" t="str">
        <f>IF(F28=$S$15,"",IF(ROUNDDOWN(F28,0)=$S$11,$U$11,$T$11))</f>
        <v/>
      </c>
      <c r="G30" s="1363" t="str">
        <f>IF(G28=$S$15,"",IF(ROUNDDOWN(G28,0)=$S$11,$U$11,$T$11))</f>
        <v>　レベル　2</v>
      </c>
      <c r="H30" s="946" t="s">
        <v>2178</v>
      </c>
      <c r="I30" s="947"/>
      <c r="J30" s="947"/>
      <c r="K30" s="3437"/>
      <c r="L30" s="1363" t="str">
        <f>IF(L28=$S$15,"",IF(ROUNDDOWN(L28,0)=$S$11,$U$11,$T$11))</f>
        <v>　レベル　2</v>
      </c>
      <c r="M30" s="2421" t="s">
        <v>1498</v>
      </c>
      <c r="N30" s="2420"/>
      <c r="O30" s="948"/>
    </row>
    <row r="31" spans="2:256" ht="39.75" customHeight="1">
      <c r="B31" s="1">
        <v>3</v>
      </c>
      <c r="C31" s="1">
        <v>3</v>
      </c>
      <c r="D31" s="908"/>
      <c r="E31" s="908"/>
      <c r="F31" s="1363" t="str">
        <f>IF(F28=$S$15,"",IF(ROUNDDOWN(F28,0)=$S$12,$U$12,$T$12))</f>
        <v/>
      </c>
      <c r="G31" s="1363" t="str">
        <f>IF(G28=$S$15,"",IF(ROUNDDOWN(G28,0)=$S$12,$U$12,$T$12))</f>
        <v>■レベル　3</v>
      </c>
      <c r="H31" s="3403" t="s">
        <v>2940</v>
      </c>
      <c r="I31" s="3404"/>
      <c r="J31" s="3404"/>
      <c r="K31" s="2422" t="s">
        <v>3047</v>
      </c>
      <c r="L31" s="1363" t="str">
        <f>IF(L28=$S$15,"",IF(ROUNDDOWN(L28,0)=$S$12,$U$12,$T$12))</f>
        <v>■レベル　3</v>
      </c>
      <c r="M31" s="3148" t="s">
        <v>2812</v>
      </c>
      <c r="N31" s="3165"/>
      <c r="O31" s="3192"/>
    </row>
    <row r="32" spans="2:256" ht="36.75" customHeight="1">
      <c r="B32" s="1">
        <v>4</v>
      </c>
      <c r="C32" s="1">
        <v>4</v>
      </c>
      <c r="D32" s="908"/>
      <c r="E32" s="908"/>
      <c r="F32" s="1363" t="str">
        <f>IF(F28=$S$15,"",IF(ROUNDDOWN(F28,0)=$S$13,$U$13,$T$13))</f>
        <v/>
      </c>
      <c r="G32" s="1363" t="str">
        <f>IF(G28=$S$15,"",IF(ROUNDDOWN(G28,0)=$S$13,$U$13,$T$13))</f>
        <v>　レベル　4</v>
      </c>
      <c r="H32" s="3148" t="s">
        <v>2941</v>
      </c>
      <c r="I32" s="3171"/>
      <c r="J32" s="3171"/>
      <c r="K32" s="2422" t="s">
        <v>3046</v>
      </c>
      <c r="L32" s="1363" t="str">
        <f>IF(L28=$S$15,"",IF(ROUNDDOWN(L28,0)=$S$13,$U$13,$T$13))</f>
        <v>　レベル　4</v>
      </c>
      <c r="M32" s="3148" t="s">
        <v>783</v>
      </c>
      <c r="N32" s="3165"/>
      <c r="O32" s="3192"/>
    </row>
    <row r="33" spans="2:17" ht="27" customHeight="1" thickBot="1">
      <c r="B33" s="1">
        <v>5</v>
      </c>
      <c r="C33" s="1">
        <v>5</v>
      </c>
      <c r="D33" s="908"/>
      <c r="E33" s="908"/>
      <c r="F33" s="1364" t="str">
        <f>IF(F28=$S$15,"",IF(ROUNDDOWN(F28,0)=$S$14,$U$14,$T$14))</f>
        <v/>
      </c>
      <c r="G33" s="1364" t="str">
        <f>IF(G28=$S$15,"",IF(ROUNDDOWN(G28,0)=$S$14,$U$14,$T$14))</f>
        <v>　レベル　5</v>
      </c>
      <c r="H33" s="3146" t="s">
        <v>784</v>
      </c>
      <c r="I33" s="3312"/>
      <c r="J33" s="3313"/>
      <c r="K33" s="2423"/>
      <c r="L33" s="1364" t="str">
        <f>IF(L28=$S$15,"",IF(ROUNDDOWN(L28,0)=$S$14,$U$14,$T$14))</f>
        <v>　レベル　5</v>
      </c>
      <c r="M33" s="3146" t="s">
        <v>785</v>
      </c>
      <c r="N33" s="3170"/>
      <c r="O33" s="3176"/>
    </row>
    <row r="34" spans="2:17" ht="21" customHeight="1" thickBot="1">
      <c r="B34" s="960">
        <v>0</v>
      </c>
      <c r="C34" s="960">
        <v>0</v>
      </c>
      <c r="D34" s="2277"/>
      <c r="E34" s="132"/>
      <c r="F34" s="930">
        <v>0</v>
      </c>
      <c r="G34" s="1158" t="s">
        <v>2666</v>
      </c>
      <c r="H34" s="2328" t="s">
        <v>3339</v>
      </c>
      <c r="I34" s="132"/>
      <c r="J34" s="132"/>
      <c r="K34" s="132"/>
      <c r="L34" s="132"/>
      <c r="M34" s="132"/>
      <c r="N34" s="132"/>
      <c r="O34" s="132"/>
    </row>
    <row r="35" spans="2:17" s="2687" customFormat="1" ht="22.5" hidden="1" customHeight="1" thickBot="1">
      <c r="B35" s="1630"/>
      <c r="C35" s="1630"/>
      <c r="D35" s="2277"/>
      <c r="E35" s="2414"/>
      <c r="F35" s="2855" t="s">
        <v>3372</v>
      </c>
      <c r="G35" s="908"/>
      <c r="H35" s="908"/>
      <c r="I35" s="2414"/>
      <c r="J35" s="2414"/>
      <c r="K35" s="2414"/>
      <c r="L35" s="2414"/>
      <c r="M35" s="2414"/>
      <c r="N35" s="2414"/>
      <c r="O35" s="2414"/>
    </row>
    <row r="36" spans="2:17" ht="25.5" customHeight="1" thickBot="1">
      <c r="D36" s="2277"/>
      <c r="E36" s="132"/>
      <c r="F36" s="132"/>
      <c r="G36" s="1340" t="s">
        <v>79</v>
      </c>
      <c r="H36" s="1323"/>
      <c r="I36" s="1346">
        <v>0</v>
      </c>
      <c r="J36" s="1341" t="s">
        <v>80</v>
      </c>
      <c r="K36" s="132"/>
      <c r="L36" s="132"/>
      <c r="M36" s="132"/>
      <c r="N36" s="132"/>
      <c r="O36" s="132"/>
    </row>
    <row r="37" spans="2:17" ht="7.5" customHeight="1">
      <c r="D37" s="2277"/>
      <c r="E37" s="132"/>
      <c r="F37" s="132"/>
      <c r="G37" s="132"/>
      <c r="H37" s="132"/>
      <c r="I37" s="132"/>
      <c r="J37" s="132"/>
      <c r="K37" s="132"/>
      <c r="L37" s="132"/>
      <c r="M37" s="132"/>
      <c r="N37" s="132"/>
      <c r="O37" s="132"/>
    </row>
    <row r="38" spans="2:17" ht="19.5" customHeight="1" thickBot="1">
      <c r="B38" t="s">
        <v>3048</v>
      </c>
      <c r="D38" s="908"/>
      <c r="E38" s="1343"/>
      <c r="F38" s="908"/>
      <c r="G38" s="1347" t="s">
        <v>1021</v>
      </c>
      <c r="H38" s="1348" t="s">
        <v>1170</v>
      </c>
      <c r="I38" s="1349" t="s">
        <v>1022</v>
      </c>
      <c r="J38" s="1350"/>
      <c r="K38" s="1350"/>
      <c r="L38" s="1350"/>
      <c r="M38" s="1350"/>
      <c r="N38" s="1350"/>
      <c r="O38" s="1351"/>
      <c r="P38" s="2040"/>
      <c r="Q38" s="2040"/>
    </row>
    <row r="39" spans="2:17" ht="29.25" customHeight="1">
      <c r="B39" s="960">
        <v>0</v>
      </c>
      <c r="C39" s="960">
        <v>0</v>
      </c>
      <c r="D39" s="908"/>
      <c r="E39" s="1343"/>
      <c r="F39" s="908"/>
      <c r="G39" s="1352">
        <v>1</v>
      </c>
      <c r="H39" s="1246"/>
      <c r="I39" s="3148" t="s">
        <v>2515</v>
      </c>
      <c r="J39" s="3405"/>
      <c r="K39" s="3405"/>
      <c r="L39" s="3405"/>
      <c r="M39" s="3405"/>
      <c r="N39" s="3405"/>
      <c r="O39" s="3406"/>
    </row>
    <row r="40" spans="2:17" ht="42" customHeight="1">
      <c r="D40" s="908"/>
      <c r="E40" s="1343"/>
      <c r="F40" s="908"/>
      <c r="G40" s="1353">
        <v>2</v>
      </c>
      <c r="H40" s="1249"/>
      <c r="I40" s="3148" t="s">
        <v>1023</v>
      </c>
      <c r="J40" s="3405"/>
      <c r="K40" s="3405"/>
      <c r="L40" s="3405"/>
      <c r="M40" s="3405"/>
      <c r="N40" s="3405"/>
      <c r="O40" s="3406"/>
    </row>
    <row r="41" spans="2:17" ht="27.75" customHeight="1">
      <c r="D41" s="908"/>
      <c r="E41" s="1343"/>
      <c r="F41" s="908"/>
      <c r="G41" s="1353">
        <v>3</v>
      </c>
      <c r="H41" s="1249"/>
      <c r="I41" s="3148" t="s">
        <v>2895</v>
      </c>
      <c r="J41" s="3405"/>
      <c r="K41" s="3405"/>
      <c r="L41" s="3405"/>
      <c r="M41" s="3405"/>
      <c r="N41" s="3405"/>
      <c r="O41" s="3406"/>
    </row>
    <row r="42" spans="2:17" ht="27.75" customHeight="1" thickBot="1">
      <c r="D42" s="908"/>
      <c r="E42" s="1343"/>
      <c r="F42" s="908"/>
      <c r="G42" s="1354">
        <v>4</v>
      </c>
      <c r="H42" s="1355"/>
      <c r="I42" s="1176" t="s">
        <v>2896</v>
      </c>
      <c r="J42" s="1177"/>
      <c r="K42" s="1177"/>
      <c r="L42" s="1177"/>
      <c r="M42" s="1177"/>
      <c r="N42" s="1177"/>
      <c r="O42" s="1178"/>
    </row>
    <row r="43" spans="2:17"/>
    <row r="44" spans="2:17" ht="14.25" customHeight="1">
      <c r="D44" s="1326">
        <v>3</v>
      </c>
      <c r="E44" s="1143" t="s">
        <v>1575</v>
      </c>
      <c r="F44" s="573"/>
      <c r="G44" s="573"/>
      <c r="H44" s="573"/>
      <c r="I44" s="573"/>
      <c r="J44" s="999" t="e">
        <f>IF(OR(F47=0,AND(O46=0,J47=0)),$R$3,"")</f>
        <v>#DIV/0!</v>
      </c>
      <c r="K44" s="1296"/>
      <c r="L44" s="1296"/>
      <c r="M44" s="1296"/>
      <c r="N44" s="1296"/>
      <c r="O44" s="1296"/>
    </row>
    <row r="45" spans="2:17" s="2383" customFormat="1" ht="14.25" hidden="1" customHeight="1">
      <c r="D45" s="1326">
        <v>3.1</v>
      </c>
      <c r="E45" s="1143" t="s">
        <v>2955</v>
      </c>
      <c r="F45" s="573"/>
      <c r="G45" s="573"/>
      <c r="H45" s="573"/>
      <c r="I45" s="573"/>
      <c r="J45" s="999"/>
      <c r="K45" s="1296"/>
      <c r="L45" s="1296"/>
      <c r="M45" s="1296"/>
      <c r="N45" s="1296"/>
      <c r="O45" s="1296"/>
    </row>
    <row r="46" spans="2:17" ht="14">
      <c r="D46" s="2282"/>
      <c r="E46" s="1327"/>
      <c r="F46" s="2519" t="s">
        <v>2582</v>
      </c>
      <c r="G46" s="1165"/>
      <c r="H46" s="924"/>
      <c r="I46" s="924"/>
      <c r="J46" s="924"/>
      <c r="K46" s="924"/>
      <c r="L46" s="924"/>
      <c r="M46" s="924"/>
      <c r="N46" s="926" t="s">
        <v>1364</v>
      </c>
      <c r="O46" s="929" t="e">
        <f>重み!M129</f>
        <v>#DIV/0!</v>
      </c>
    </row>
    <row r="47" spans="2:17" ht="27" customHeight="1">
      <c r="D47" s="908"/>
      <c r="E47" s="1323"/>
      <c r="F47" s="2773">
        <f>ROUNDDOWN(計画書!H37,1)</f>
        <v>0</v>
      </c>
      <c r="G47" s="2493" t="s">
        <v>911</v>
      </c>
      <c r="H47" s="2110">
        <f>計画書!G32</f>
        <v>0</v>
      </c>
      <c r="I47" s="2841" t="s">
        <v>3169</v>
      </c>
      <c r="J47" s="1164">
        <f>計画書!G33</f>
        <v>0</v>
      </c>
      <c r="K47" s="2490" t="s">
        <v>1905</v>
      </c>
      <c r="L47" s="1164">
        <f>メイン!C64</f>
        <v>0</v>
      </c>
      <c r="M47" s="3263" t="s">
        <v>3345</v>
      </c>
      <c r="N47" s="3435"/>
      <c r="O47" s="3187"/>
    </row>
    <row r="48" spans="2:17" ht="22.5" customHeight="1">
      <c r="D48" s="908"/>
      <c r="E48" s="1323"/>
      <c r="F48" s="1149" t="str">
        <f>IF(F47=$S$15,$T$10,IF(ROUNDDOWN(F47,0)=$S$10,$U$10,$T$10))</f>
        <v>　レベル　1</v>
      </c>
      <c r="G48" s="3407" t="s">
        <v>3186</v>
      </c>
      <c r="H48" s="3408"/>
      <c r="I48" s="3407" t="s">
        <v>3187</v>
      </c>
      <c r="J48" s="3408"/>
      <c r="K48" s="3407" t="s">
        <v>3188</v>
      </c>
      <c r="L48" s="3408"/>
      <c r="M48" s="2509" t="s">
        <v>3192</v>
      </c>
      <c r="N48" s="2512" t="s">
        <v>3189</v>
      </c>
      <c r="O48" s="2515">
        <f>ROUNDDOWN(計画書!J35,2)</f>
        <v>0</v>
      </c>
    </row>
    <row r="49" spans="4:15" ht="22.5" customHeight="1">
      <c r="D49" s="908"/>
      <c r="E49" s="1323"/>
      <c r="F49" s="2494" t="str">
        <f>IF(F47=$S$15,$T$11,IF(ROUNDDOWN(F47,0)=$S$11,$U$11,$T$11))</f>
        <v>　レベル　2</v>
      </c>
      <c r="G49" s="3409"/>
      <c r="H49" s="3410"/>
      <c r="I49" s="3409"/>
      <c r="J49" s="3410"/>
      <c r="K49" s="3409"/>
      <c r="L49" s="3410"/>
      <c r="M49" s="2510" t="s">
        <v>3193</v>
      </c>
      <c r="N49" s="2513" t="s">
        <v>3190</v>
      </c>
      <c r="O49" s="2516">
        <f>ROUNDDOWN(計画書!K35,2)</f>
        <v>0</v>
      </c>
    </row>
    <row r="50" spans="4:15" ht="22.5" customHeight="1">
      <c r="D50" s="908"/>
      <c r="E50" s="1323"/>
      <c r="F50" s="2494" t="str">
        <f>IF(F47=$S$15,$T$12,IF(ROUNDDOWN(F47,0)=$S$12,$U$12,$T$12))</f>
        <v>　レベル　3</v>
      </c>
      <c r="G50" s="3409"/>
      <c r="H50" s="3410"/>
      <c r="I50" s="3409"/>
      <c r="J50" s="3410"/>
      <c r="K50" s="3409"/>
      <c r="L50" s="3410"/>
      <c r="M50" s="2510" t="s">
        <v>3194</v>
      </c>
      <c r="N50" s="2513" t="s">
        <v>3190</v>
      </c>
      <c r="O50" s="2518">
        <f>ROUNDDOWN(計画書!L35,2)</f>
        <v>0</v>
      </c>
    </row>
    <row r="51" spans="4:15" ht="22.5" customHeight="1">
      <c r="D51" s="908"/>
      <c r="E51" s="1323"/>
      <c r="F51" s="2494" t="str">
        <f>IF(F47=$S$15,$T$13,IF(ROUNDDOWN(F47,0)=$S$13,$U$13,$T$13))</f>
        <v>　レベル　4</v>
      </c>
      <c r="G51" s="3409"/>
      <c r="H51" s="3410"/>
      <c r="I51" s="3409"/>
      <c r="J51" s="3410"/>
      <c r="K51" s="3409"/>
      <c r="L51" s="3410"/>
      <c r="M51" s="2510" t="s">
        <v>3195</v>
      </c>
      <c r="N51" s="2513" t="s">
        <v>3190</v>
      </c>
      <c r="O51" s="2518">
        <f>ROUNDDOWN(計画書!M35,2)</f>
        <v>0</v>
      </c>
    </row>
    <row r="52" spans="4:15" ht="22.5" customHeight="1">
      <c r="D52" s="908"/>
      <c r="E52" s="1323"/>
      <c r="F52" s="2495" t="str">
        <f>IF(F47=$S$15,$T$14,IF(ROUNDDOWN(F47,0)=$S$14,$U$14,$T$14))</f>
        <v>　レベル　5</v>
      </c>
      <c r="G52" s="3411"/>
      <c r="H52" s="3412"/>
      <c r="I52" s="3411"/>
      <c r="J52" s="3412"/>
      <c r="K52" s="3411"/>
      <c r="L52" s="3412"/>
      <c r="M52" s="2511" t="s">
        <v>3196</v>
      </c>
      <c r="N52" s="2514" t="s">
        <v>3191</v>
      </c>
      <c r="O52" s="2517">
        <f>ROUNDDOWN(計画書!N35,2)</f>
        <v>0</v>
      </c>
    </row>
    <row r="53" spans="4:15" ht="14.5" hidden="1">
      <c r="F53" s="2855" t="s">
        <v>3373</v>
      </c>
    </row>
    <row r="54" spans="4:15"/>
    <row r="55" spans="4:15">
      <c r="G55" s="2505" t="s">
        <v>2162</v>
      </c>
      <c r="H55" s="2506" t="s">
        <v>2933</v>
      </c>
      <c r="I55" s="2507"/>
      <c r="J55" s="2507"/>
      <c r="K55" s="2507"/>
      <c r="L55" s="2507"/>
      <c r="M55" s="2507"/>
      <c r="N55" s="2507"/>
      <c r="O55" s="2508"/>
    </row>
    <row r="56" spans="4:15">
      <c r="G56" s="2496" t="s">
        <v>3370</v>
      </c>
      <c r="H56" s="2497"/>
      <c r="I56" s="2497"/>
      <c r="J56" s="2497"/>
      <c r="K56" s="2497"/>
      <c r="L56" s="2497"/>
      <c r="M56" s="2497"/>
      <c r="N56" s="2497"/>
      <c r="O56" s="2498"/>
    </row>
    <row r="57" spans="4:15">
      <c r="G57" s="2499" t="s">
        <v>3369</v>
      </c>
      <c r="H57" s="2500"/>
      <c r="I57" s="2500"/>
      <c r="J57" s="2500"/>
      <c r="K57" s="2500"/>
      <c r="L57" s="2500"/>
      <c r="M57" s="2500"/>
      <c r="N57" s="2500"/>
      <c r="O57" s="2501"/>
    </row>
    <row r="58" spans="4:15">
      <c r="G58" s="2502" t="s">
        <v>3368</v>
      </c>
      <c r="H58" s="2503"/>
      <c r="I58" s="2503"/>
      <c r="J58" s="2503"/>
      <c r="K58" s="2503"/>
      <c r="L58" s="2503"/>
      <c r="M58" s="2503"/>
      <c r="N58" s="2503"/>
      <c r="O58" s="2504"/>
    </row>
    <row r="59" spans="4:15" ht="13" hidden="1" customHeight="1"/>
    <row r="60" spans="4:15" s="2383" customFormat="1" ht="15.65" hidden="1" customHeight="1">
      <c r="D60" s="1326"/>
      <c r="E60" s="1143"/>
      <c r="F60" s="1326" t="s">
        <v>3023</v>
      </c>
      <c r="G60" s="132"/>
      <c r="H60" s="132"/>
      <c r="I60" s="132"/>
      <c r="J60" s="2384"/>
      <c r="K60" s="132"/>
      <c r="L60" s="132"/>
      <c r="M60" s="2014"/>
      <c r="N60" s="2014"/>
      <c r="O60" s="2014"/>
    </row>
    <row r="61" spans="4:15" s="2383" customFormat="1" ht="13" hidden="1" customHeight="1">
      <c r="D61" s="2284"/>
      <c r="E61" s="2384"/>
      <c r="F61" s="2384" t="s">
        <v>2956</v>
      </c>
      <c r="G61" s="132"/>
      <c r="H61" s="132"/>
      <c r="I61" s="132"/>
      <c r="J61" s="132"/>
      <c r="K61" s="132"/>
      <c r="L61" s="132"/>
      <c r="M61" s="2014"/>
      <c r="N61" s="2014"/>
      <c r="O61" s="2014"/>
    </row>
    <row r="62" spans="4:15" s="2383" customFormat="1" ht="13" hidden="1" customHeight="1">
      <c r="D62" s="2284"/>
      <c r="E62" s="2384"/>
      <c r="F62" s="1358" t="e">
        <f>計画書!#REF!</f>
        <v>#REF!</v>
      </c>
      <c r="G62" s="2405" t="s">
        <v>3024</v>
      </c>
      <c r="H62" s="2406"/>
      <c r="I62" s="2406"/>
      <c r="J62" s="2406"/>
      <c r="K62" s="2407">
        <v>1</v>
      </c>
      <c r="L62" s="2385"/>
      <c r="M62" s="2014"/>
      <c r="N62" s="2014"/>
      <c r="O62" s="2014"/>
    </row>
    <row r="63" spans="4:15" s="2383" customFormat="1" ht="13" hidden="1" customHeight="1">
      <c r="D63" s="2284"/>
      <c r="E63" s="2014"/>
      <c r="F63" s="132"/>
      <c r="G63" s="2405" t="s">
        <v>3025</v>
      </c>
      <c r="H63" s="2406"/>
      <c r="I63" s="2406"/>
      <c r="J63" s="2406"/>
      <c r="K63" s="2407" t="s">
        <v>3026</v>
      </c>
      <c r="L63" s="2385"/>
      <c r="M63" s="2014"/>
      <c r="N63" s="2014"/>
      <c r="O63" s="2014"/>
    </row>
    <row r="64" spans="4:15" s="2383" customFormat="1" ht="13" hidden="1" customHeight="1">
      <c r="D64" s="2284"/>
      <c r="E64" s="2014"/>
      <c r="F64" s="132"/>
      <c r="G64" s="2408"/>
      <c r="H64" s="2408"/>
      <c r="I64" s="2408"/>
      <c r="J64" s="2408"/>
      <c r="K64" s="2409"/>
      <c r="L64" s="2385"/>
      <c r="M64" s="2014"/>
      <c r="N64" s="2014"/>
      <c r="O64" s="2014"/>
    </row>
    <row r="65" spans="2:15" s="2385" customFormat="1" ht="13.5" hidden="1" customHeight="1" thickBot="1">
      <c r="D65" s="2284"/>
      <c r="E65" s="2014"/>
      <c r="F65" s="2384" t="s">
        <v>2957</v>
      </c>
      <c r="G65" s="132"/>
      <c r="I65" s="2410"/>
      <c r="J65" s="132"/>
      <c r="K65" s="132"/>
      <c r="L65" s="132"/>
      <c r="M65" s="2014"/>
      <c r="N65" s="2014"/>
      <c r="O65" s="2014"/>
    </row>
    <row r="66" spans="2:15" s="2385" customFormat="1" ht="13" hidden="1" customHeight="1">
      <c r="D66" s="2284"/>
      <c r="E66" s="2014"/>
      <c r="F66" s="1358" t="e">
        <f>計画書!#REF!</f>
        <v>#REF!</v>
      </c>
      <c r="G66" s="2411" t="s">
        <v>3027</v>
      </c>
      <c r="H66" s="2412" t="s">
        <v>3028</v>
      </c>
      <c r="I66" s="2412" t="s">
        <v>3029</v>
      </c>
      <c r="J66" s="2412" t="s">
        <v>3030</v>
      </c>
      <c r="K66" s="132"/>
      <c r="L66" s="132"/>
      <c r="M66" s="2014"/>
      <c r="N66" s="2014"/>
      <c r="O66" s="2014"/>
    </row>
    <row r="67" spans="2:15" s="2385" customFormat="1" ht="13" hidden="1" customHeight="1">
      <c r="D67" s="2284"/>
      <c r="E67" s="2014"/>
      <c r="F67" s="132"/>
      <c r="G67" s="2413" t="s">
        <v>3031</v>
      </c>
      <c r="H67" s="2407">
        <v>2</v>
      </c>
      <c r="I67" s="2407">
        <v>1</v>
      </c>
      <c r="J67" s="2407">
        <v>1</v>
      </c>
      <c r="K67" s="132"/>
      <c r="L67" s="132"/>
      <c r="M67" s="2014"/>
      <c r="N67" s="2014"/>
      <c r="O67" s="2014"/>
    </row>
    <row r="68" spans="2:15" s="2385" customFormat="1" ht="13" hidden="1" customHeight="1">
      <c r="D68" s="2284"/>
      <c r="E68" s="2014"/>
      <c r="F68" s="132"/>
      <c r="G68" s="2413" t="s">
        <v>3032</v>
      </c>
      <c r="H68" s="2407">
        <v>2.5</v>
      </c>
      <c r="I68" s="2407">
        <v>1.5</v>
      </c>
      <c r="J68" s="2407">
        <v>1</v>
      </c>
      <c r="K68" s="132"/>
      <c r="L68" s="2414"/>
      <c r="M68" s="2014"/>
      <c r="N68" s="2014"/>
      <c r="O68" s="2014"/>
    </row>
    <row r="69" spans="2:15" s="2385" customFormat="1" ht="13" hidden="1" customHeight="1">
      <c r="D69" s="2284"/>
      <c r="E69" s="2014"/>
      <c r="F69" s="132"/>
      <c r="G69" s="2413" t="s">
        <v>3033</v>
      </c>
      <c r="H69" s="2407">
        <v>3</v>
      </c>
      <c r="I69" s="2407">
        <v>2</v>
      </c>
      <c r="J69" s="2407">
        <v>1</v>
      </c>
      <c r="K69" s="132"/>
      <c r="L69" s="132"/>
      <c r="M69" s="2014"/>
      <c r="N69" s="2014"/>
      <c r="O69" s="2014"/>
    </row>
    <row r="70" spans="2:15" s="2385" customFormat="1" ht="13" hidden="1" customHeight="1">
      <c r="D70" s="2284"/>
      <c r="E70" s="2014"/>
      <c r="F70" s="132"/>
      <c r="G70" s="2413" t="s">
        <v>3034</v>
      </c>
      <c r="H70" s="2407">
        <v>3.5</v>
      </c>
      <c r="I70" s="2407">
        <v>2.5</v>
      </c>
      <c r="J70" s="2407">
        <v>1.5</v>
      </c>
      <c r="K70" s="132"/>
      <c r="L70" s="132"/>
      <c r="M70" s="2014"/>
      <c r="N70" s="2014"/>
      <c r="O70" s="2014"/>
    </row>
    <row r="71" spans="2:15" s="2385" customFormat="1" ht="13" hidden="1" customHeight="1">
      <c r="D71" s="2284"/>
      <c r="E71" s="2014"/>
      <c r="F71" s="132"/>
      <c r="G71" s="2413" t="s">
        <v>3035</v>
      </c>
      <c r="H71" s="2407">
        <v>4</v>
      </c>
      <c r="I71" s="2407">
        <v>3</v>
      </c>
      <c r="J71" s="2407">
        <v>2</v>
      </c>
      <c r="K71" s="132"/>
      <c r="L71" s="132"/>
      <c r="M71" s="2014"/>
      <c r="N71" s="2014"/>
      <c r="O71" s="2014"/>
    </row>
    <row r="72" spans="2:15" s="2385" customFormat="1" ht="13" hidden="1" customHeight="1">
      <c r="D72" s="2284"/>
      <c r="E72" s="2014"/>
      <c r="F72" s="132"/>
      <c r="G72" s="2413" t="s">
        <v>3036</v>
      </c>
      <c r="H72" s="2407">
        <v>4.5</v>
      </c>
      <c r="I72" s="2407">
        <v>3.5</v>
      </c>
      <c r="J72" s="2407">
        <v>2.5</v>
      </c>
      <c r="K72" s="132"/>
      <c r="L72" s="132"/>
      <c r="M72" s="2014"/>
      <c r="N72" s="2014"/>
      <c r="O72" s="2014"/>
    </row>
    <row r="73" spans="2:15" s="2385" customFormat="1" ht="13" hidden="1" customHeight="1">
      <c r="D73" s="2284"/>
      <c r="E73" s="2014"/>
      <c r="F73" s="132"/>
      <c r="G73" s="2415">
        <v>4</v>
      </c>
      <c r="H73" s="2407">
        <v>5</v>
      </c>
      <c r="I73" s="2407">
        <v>4</v>
      </c>
      <c r="J73" s="2407">
        <v>3</v>
      </c>
      <c r="K73" s="132"/>
      <c r="L73" s="132"/>
      <c r="M73" s="2014"/>
      <c r="N73" s="2014"/>
      <c r="O73" s="2014"/>
    </row>
    <row r="74" spans="2:15" ht="14.15" hidden="1" customHeight="1">
      <c r="F74" s="1143" t="s">
        <v>2201</v>
      </c>
      <c r="G74" s="2015"/>
      <c r="H74" s="2015"/>
      <c r="I74" s="2016"/>
      <c r="J74" s="1323"/>
      <c r="K74" s="1324"/>
    </row>
    <row r="75" spans="2:15" ht="13" hidden="1" customHeight="1">
      <c r="B75" t="s">
        <v>1329</v>
      </c>
      <c r="F75" s="1065" t="s">
        <v>782</v>
      </c>
      <c r="G75" s="924"/>
      <c r="H75" s="925"/>
      <c r="I75" s="926" t="s">
        <v>1364</v>
      </c>
      <c r="J75" s="927">
        <v>0.5</v>
      </c>
      <c r="K75" s="1066"/>
      <c r="L75" s="1066"/>
      <c r="M75" s="1066"/>
      <c r="N75" s="1066"/>
      <c r="O75" s="936"/>
    </row>
    <row r="76" spans="2:15" ht="13.5" hidden="1" customHeight="1" thickBot="1">
      <c r="B76" s="1210">
        <v>0</v>
      </c>
      <c r="F76" s="930">
        <v>0</v>
      </c>
      <c r="G76" s="1017" t="s">
        <v>1969</v>
      </c>
      <c r="H76" s="1017"/>
      <c r="I76" s="1017"/>
      <c r="J76" s="1017"/>
      <c r="K76" s="1017"/>
      <c r="L76" s="1017"/>
      <c r="M76" s="1031"/>
      <c r="N76" s="1046" t="s">
        <v>1325</v>
      </c>
      <c r="O76" s="936"/>
    </row>
    <row r="77" spans="2:15" ht="13" hidden="1" customHeight="1">
      <c r="B77" s="1" t="s">
        <v>2842</v>
      </c>
      <c r="C77" s="1">
        <v>1</v>
      </c>
      <c r="F77" s="1333" t="str">
        <f>IF(F76=$S$15,"",IF(ROUNDDOWN(F76,0)=$S$10,$U$10,$T$10))</f>
        <v/>
      </c>
      <c r="G77" s="939" t="s">
        <v>2178</v>
      </c>
      <c r="H77" s="1361"/>
      <c r="I77" s="1361"/>
      <c r="J77" s="1361"/>
      <c r="K77" s="1361"/>
      <c r="L77" s="1361"/>
      <c r="M77" s="1361"/>
      <c r="N77" s="3220"/>
      <c r="O77" s="3424"/>
    </row>
    <row r="78" spans="2:15" ht="13" hidden="1" customHeight="1">
      <c r="B78" s="1">
        <v>2</v>
      </c>
      <c r="C78" s="1">
        <v>3</v>
      </c>
      <c r="F78" s="1334" t="str">
        <f>IF(F76=$S$15,"",IF(ROUNDDOWN(F76,0)=$S$11,$U$11,$T$11))</f>
        <v/>
      </c>
      <c r="G78" s="946" t="s">
        <v>2223</v>
      </c>
      <c r="H78" s="1361"/>
      <c r="I78" s="1361"/>
      <c r="J78" s="1361"/>
      <c r="K78" s="1361"/>
      <c r="L78" s="1361"/>
      <c r="M78" s="1361"/>
      <c r="N78" s="3425"/>
      <c r="O78" s="3426"/>
    </row>
    <row r="79" spans="2:15" ht="13" hidden="1" customHeight="1">
      <c r="B79" s="1">
        <v>3</v>
      </c>
      <c r="C79" s="1">
        <v>3</v>
      </c>
      <c r="F79" s="1334" t="str">
        <f>IF(F76=$S$15,"",IF(ROUNDDOWN(F76,0)=$S$12,$U$12,$T$12))</f>
        <v/>
      </c>
      <c r="G79" s="946" t="s">
        <v>2224</v>
      </c>
      <c r="H79" s="1361"/>
      <c r="I79" s="1361"/>
      <c r="J79" s="1361"/>
      <c r="K79" s="1361"/>
      <c r="L79" s="1361"/>
      <c r="M79" s="1361"/>
      <c r="N79" s="3425"/>
      <c r="O79" s="3426"/>
    </row>
    <row r="80" spans="2:15" ht="13" hidden="1" customHeight="1">
      <c r="B80" s="1">
        <v>4</v>
      </c>
      <c r="C80" s="1">
        <v>4</v>
      </c>
      <c r="F80" s="1334" t="str">
        <f>IF(F76=$S$15,"",IF(ROUNDDOWN(F76,0)=$S$13,$U$13,$T$13))</f>
        <v/>
      </c>
      <c r="G80" s="946" t="s">
        <v>2225</v>
      </c>
      <c r="H80" s="1361"/>
      <c r="I80" s="1361"/>
      <c r="J80" s="1361"/>
      <c r="K80" s="1361"/>
      <c r="L80" s="1361"/>
      <c r="M80" s="1361"/>
      <c r="N80" s="3425"/>
      <c r="O80" s="3426"/>
    </row>
    <row r="81" spans="2:15" ht="13" hidden="1" customHeight="1">
      <c r="B81" s="1">
        <v>5</v>
      </c>
      <c r="C81" s="1">
        <v>5</v>
      </c>
      <c r="F81" s="1335" t="str">
        <f>IF(F76=$S$15,"",IF(ROUNDDOWN(F76,0)=$S$14,$U$14,$T$14))</f>
        <v/>
      </c>
      <c r="G81" s="957" t="s">
        <v>2370</v>
      </c>
      <c r="H81" s="958"/>
      <c r="I81" s="958"/>
      <c r="J81" s="958"/>
      <c r="K81" s="958"/>
      <c r="L81" s="958"/>
      <c r="M81" s="958"/>
      <c r="N81" s="3427"/>
      <c r="O81" s="3428"/>
    </row>
    <row r="82" spans="2:15" ht="13" hidden="1" customHeight="1">
      <c r="B82" s="960">
        <v>0</v>
      </c>
      <c r="C82" s="960">
        <v>0</v>
      </c>
    </row>
    <row r="83" spans="2:15" ht="14.15" hidden="1" customHeight="1">
      <c r="F83" s="1143" t="s">
        <v>2371</v>
      </c>
      <c r="G83" s="1323"/>
      <c r="H83" s="1323" t="s">
        <v>1361</v>
      </c>
      <c r="I83" s="1323"/>
    </row>
    <row r="84" spans="2:15" ht="13" hidden="1" customHeight="1"/>
    <row r="85" spans="2:15" ht="15.65" hidden="1" customHeight="1">
      <c r="F85" s="1143" t="s">
        <v>2372</v>
      </c>
      <c r="G85" s="1357"/>
      <c r="H85" s="1143"/>
      <c r="I85" s="1324"/>
      <c r="K85" s="1324"/>
    </row>
    <row r="86" spans="2:15" ht="13" hidden="1" customHeight="1">
      <c r="B86" t="s">
        <v>1329</v>
      </c>
      <c r="F86" s="1065" t="s">
        <v>782</v>
      </c>
      <c r="G86" s="924"/>
      <c r="H86" s="925"/>
      <c r="I86" s="926" t="s">
        <v>1364</v>
      </c>
      <c r="J86" s="927">
        <v>0.5</v>
      </c>
      <c r="K86" s="1066"/>
      <c r="L86" s="1066"/>
      <c r="M86" s="1066"/>
      <c r="N86" s="1066"/>
      <c r="O86" s="936"/>
    </row>
    <row r="87" spans="2:15" ht="13.5" hidden="1" customHeight="1" thickBot="1">
      <c r="B87" s="1210">
        <v>0</v>
      </c>
      <c r="F87" s="930">
        <v>0</v>
      </c>
      <c r="G87" s="1017" t="s">
        <v>1969</v>
      </c>
      <c r="H87" s="1017"/>
      <c r="I87" s="1017"/>
      <c r="J87" s="1017"/>
      <c r="K87" s="1017"/>
      <c r="L87" s="1017"/>
      <c r="M87" s="1031"/>
      <c r="N87" s="1046" t="s">
        <v>1325</v>
      </c>
      <c r="O87" s="936"/>
    </row>
    <row r="88" spans="2:15" ht="13" hidden="1" customHeight="1">
      <c r="B88" s="1" t="s">
        <v>2842</v>
      </c>
      <c r="C88" s="1">
        <v>1</v>
      </c>
      <c r="F88" s="1333" t="str">
        <f>IF(F87=$S$15,"",IF(ROUNDDOWN(F87,0)=$S$10,$U$10,$T$10))</f>
        <v/>
      </c>
      <c r="G88" s="939" t="s">
        <v>2178</v>
      </c>
      <c r="H88" s="1361"/>
      <c r="I88" s="1361"/>
      <c r="J88" s="1361"/>
      <c r="K88" s="1361"/>
      <c r="L88" s="1361"/>
      <c r="M88" s="1361"/>
      <c r="N88" s="3220" t="s">
        <v>2226</v>
      </c>
      <c r="O88" s="3424"/>
    </row>
    <row r="89" spans="2:15" ht="13" hidden="1" customHeight="1">
      <c r="B89" s="1">
        <v>2</v>
      </c>
      <c r="C89" s="1">
        <v>3</v>
      </c>
      <c r="F89" s="1334" t="str">
        <f>IF(F87=$S$15,"",IF(ROUNDDOWN(F87,0)=$S$11,$U$11,$T$11))</f>
        <v/>
      </c>
      <c r="G89" s="946" t="s">
        <v>2227</v>
      </c>
      <c r="H89" s="1361"/>
      <c r="I89" s="1361"/>
      <c r="J89" s="1361"/>
      <c r="K89" s="1361"/>
      <c r="L89" s="1361"/>
      <c r="M89" s="1361"/>
      <c r="N89" s="3425"/>
      <c r="O89" s="3426"/>
    </row>
    <row r="90" spans="2:15" ht="13" hidden="1" customHeight="1">
      <c r="B90" s="1">
        <v>3</v>
      </c>
      <c r="C90" s="1">
        <v>3</v>
      </c>
      <c r="F90" s="1334" t="str">
        <f>IF(F87=$S$15,"",IF(ROUNDDOWN(F87,0)=$S$12,$U$12,$T$12))</f>
        <v/>
      </c>
      <c r="G90" s="946" t="s">
        <v>2373</v>
      </c>
      <c r="H90" s="1361"/>
      <c r="I90" s="1361"/>
      <c r="J90" s="1361"/>
      <c r="K90" s="1361"/>
      <c r="L90" s="1361"/>
      <c r="M90" s="1361"/>
      <c r="N90" s="3425"/>
      <c r="O90" s="3426"/>
    </row>
    <row r="91" spans="2:15" ht="13" hidden="1" customHeight="1">
      <c r="B91" s="1">
        <v>4</v>
      </c>
      <c r="C91" s="1">
        <v>4</v>
      </c>
      <c r="F91" s="1334" t="str">
        <f>IF(F87=$S$15,"",IF(ROUNDDOWN(F87,0)=$S$13,$U$13,$T$13))</f>
        <v/>
      </c>
      <c r="G91" s="946" t="s">
        <v>2228</v>
      </c>
      <c r="H91" s="1361"/>
      <c r="I91" s="1361"/>
      <c r="J91" s="1361"/>
      <c r="K91" s="1361"/>
      <c r="L91" s="1361"/>
      <c r="M91" s="1361"/>
      <c r="N91" s="3425"/>
      <c r="O91" s="3426"/>
    </row>
    <row r="92" spans="2:15" ht="13" hidden="1" customHeight="1">
      <c r="B92" s="1">
        <v>5</v>
      </c>
      <c r="C92" s="1">
        <v>5</v>
      </c>
      <c r="F92" s="1335" t="str">
        <f>IF(F87=$S$15,"",IF(ROUNDDOWN(F87,0)=$S$14,$U$14,$T$14))</f>
        <v/>
      </c>
      <c r="G92" s="957" t="s">
        <v>2229</v>
      </c>
      <c r="H92" s="958"/>
      <c r="I92" s="958"/>
      <c r="J92" s="958"/>
      <c r="K92" s="958"/>
      <c r="L92" s="958"/>
      <c r="M92" s="958"/>
      <c r="N92" s="3427"/>
      <c r="O92" s="3428"/>
    </row>
    <row r="93" spans="2:15" ht="13" hidden="1" customHeight="1">
      <c r="B93" s="960">
        <v>0</v>
      </c>
      <c r="C93" s="960">
        <v>0</v>
      </c>
    </row>
    <row r="94" spans="2:15" ht="14.15" hidden="1" customHeight="1">
      <c r="F94" s="1143" t="s">
        <v>2374</v>
      </c>
      <c r="H94" s="1323" t="s">
        <v>1361</v>
      </c>
      <c r="I94" s="1323"/>
    </row>
    <row r="95" spans="2:15" ht="13" hidden="1" customHeight="1">
      <c r="I95" s="1323"/>
    </row>
    <row r="96" spans="2:15" ht="14.15" hidden="1" customHeight="1">
      <c r="F96" s="1143" t="s">
        <v>2375</v>
      </c>
      <c r="H96" s="1323" t="s">
        <v>1361</v>
      </c>
      <c r="I96" s="1323"/>
    </row>
    <row r="97" spans="2:15"/>
    <row r="98" spans="2:15" ht="15.5">
      <c r="D98" s="1326">
        <v>4</v>
      </c>
      <c r="E98" s="1143" t="s">
        <v>2566</v>
      </c>
      <c r="F98" s="1143"/>
      <c r="G98" s="1293"/>
      <c r="H98" s="1293"/>
      <c r="I98" s="1293"/>
      <c r="J98" s="916"/>
      <c r="K98" s="916"/>
      <c r="L98" s="916"/>
      <c r="M98" s="916"/>
      <c r="N98" s="916"/>
      <c r="O98" s="916"/>
    </row>
    <row r="99" spans="2:15" ht="15.5">
      <c r="D99" s="1326">
        <v>4.0999999999999996</v>
      </c>
      <c r="E99" s="1143" t="s">
        <v>1011</v>
      </c>
      <c r="F99" s="1143"/>
      <c r="J99" s="999" t="e">
        <f>IF(OR(F101=0,AND(J100=0,O100=0)),$R$3,"")</f>
        <v>#DIV/0!</v>
      </c>
      <c r="O99" s="999"/>
    </row>
    <row r="100" spans="2:15" ht="14.5" thickBot="1">
      <c r="D100" s="2282"/>
      <c r="E100" s="1327"/>
      <c r="F100" s="1065"/>
      <c r="G100" s="924"/>
      <c r="H100" s="925"/>
      <c r="I100" s="926" t="s">
        <v>1364</v>
      </c>
      <c r="J100" s="927" t="e">
        <f>重み!M140</f>
        <v>#DIV/0!</v>
      </c>
      <c r="K100" s="1065"/>
      <c r="L100" s="924"/>
      <c r="M100" s="925"/>
      <c r="N100" s="926" t="s">
        <v>1364</v>
      </c>
      <c r="O100" s="929" t="e">
        <f>重み!M143</f>
        <v>#DIV/0!</v>
      </c>
    </row>
    <row r="101" spans="2:15" ht="27" customHeight="1" thickBot="1">
      <c r="D101" s="908"/>
      <c r="E101" s="1323"/>
      <c r="F101" s="930">
        <v>4</v>
      </c>
      <c r="G101" s="2126" t="s">
        <v>2567</v>
      </c>
      <c r="H101" s="1365"/>
      <c r="I101" s="1365"/>
      <c r="J101" s="1365"/>
      <c r="K101" s="930">
        <v>3</v>
      </c>
      <c r="L101" s="934" t="s">
        <v>1905</v>
      </c>
      <c r="M101" s="935"/>
      <c r="N101" s="935"/>
      <c r="O101" s="936"/>
    </row>
    <row r="102" spans="2:15" ht="21" customHeight="1">
      <c r="B102" s="1" t="s">
        <v>2842</v>
      </c>
      <c r="C102" s="1" t="s">
        <v>2842</v>
      </c>
      <c r="D102" s="908"/>
      <c r="E102" s="1323"/>
      <c r="F102" s="937" t="str">
        <f>IF(F101=$S$15,$T$10,IF(ROUNDDOWN(F101,0)=$S$10,$U$10,$T$10))</f>
        <v>　レベル　1</v>
      </c>
      <c r="G102" s="1170" t="s">
        <v>1833</v>
      </c>
      <c r="H102" s="2108"/>
      <c r="I102" s="2108"/>
      <c r="J102" s="2108"/>
      <c r="K102" s="937" t="str">
        <f>IF(K101=$S$15,$T$10,IF(ROUNDDOWN(K101,0)=$S$10,$U$10,$T$10))</f>
        <v>　レベル　1</v>
      </c>
      <c r="L102" s="2109" t="s">
        <v>1833</v>
      </c>
      <c r="M102" s="2117"/>
      <c r="N102" s="2117"/>
      <c r="O102" s="2118"/>
    </row>
    <row r="103" spans="2:15" ht="21" customHeight="1">
      <c r="B103" s="1" t="s">
        <v>2842</v>
      </c>
      <c r="C103" s="1" t="s">
        <v>2842</v>
      </c>
      <c r="D103" s="908"/>
      <c r="E103" s="1323"/>
      <c r="F103" s="1089" t="str">
        <f>IF(F101=$S$15,$T$11,IF(ROUNDDOWN(F101,0)=$S$11,$U$11,$T$11))</f>
        <v>　レベル　2</v>
      </c>
      <c r="G103" s="1173" t="s">
        <v>1833</v>
      </c>
      <c r="H103" s="1361"/>
      <c r="I103" s="1361"/>
      <c r="J103" s="1361"/>
      <c r="K103" s="1089" t="str">
        <f>IF(K101=$S$15,$T$11,IF(ROUNDDOWN(K101,0)=$S$11,$U$11,$T$11))</f>
        <v>　レベル　2</v>
      </c>
      <c r="L103" s="1173" t="s">
        <v>1833</v>
      </c>
      <c r="M103" s="1174"/>
      <c r="N103" s="1174"/>
      <c r="O103" s="1175"/>
    </row>
    <row r="104" spans="2:15" ht="45" customHeight="1">
      <c r="B104" s="1">
        <v>3</v>
      </c>
      <c r="C104" s="1">
        <v>3</v>
      </c>
      <c r="D104" s="908"/>
      <c r="E104" s="1323"/>
      <c r="F104" s="1089" t="str">
        <f>IF(F101=$S$15,$T$12,IF(ROUNDDOWN(F101,0)=$S$12,$U$12,$T$12))</f>
        <v>　レベル　3</v>
      </c>
      <c r="G104" s="3182" t="s">
        <v>2202</v>
      </c>
      <c r="H104" s="3401"/>
      <c r="I104" s="3401"/>
      <c r="J104" s="3402"/>
      <c r="K104" s="1089" t="str">
        <f>IF(K101=$S$15,$T$12,IF(ROUNDDOWN(K101,0)=$S$12,$U$12,$T$12))</f>
        <v>■レベル　3</v>
      </c>
      <c r="L104" s="1173" t="s">
        <v>208</v>
      </c>
      <c r="M104" s="1174"/>
      <c r="N104" s="1174"/>
      <c r="O104" s="1175"/>
    </row>
    <row r="105" spans="2:15" ht="45" customHeight="1">
      <c r="B105" s="1">
        <v>4</v>
      </c>
      <c r="C105" s="1">
        <v>4</v>
      </c>
      <c r="D105" s="908"/>
      <c r="E105" s="1323"/>
      <c r="F105" s="1089" t="str">
        <f>IF(F101=$S$15,$T$13,IF(ROUNDDOWN(F101,0)=$S$13,$U$13,$T$13))</f>
        <v>■レベル　4</v>
      </c>
      <c r="G105" s="3182" t="s">
        <v>211</v>
      </c>
      <c r="H105" s="3401"/>
      <c r="I105" s="3401"/>
      <c r="J105" s="3402"/>
      <c r="K105" s="1089" t="str">
        <f>IF(K101=$S$15,$T$13,IF(ROUNDDOWN(K101,0)=$S$13,$U$13,$T$13))</f>
        <v>　レベル　4</v>
      </c>
      <c r="L105" s="3148" t="s">
        <v>209</v>
      </c>
      <c r="M105" s="3165"/>
      <c r="N105" s="3165"/>
      <c r="O105" s="3192"/>
    </row>
    <row r="106" spans="2:15" ht="45" customHeight="1">
      <c r="B106" s="1">
        <v>5</v>
      </c>
      <c r="C106" s="1">
        <v>5</v>
      </c>
      <c r="D106" s="908"/>
      <c r="E106" s="1323"/>
      <c r="F106" s="953" t="str">
        <f>IF(F101=$S$15,$T$14,IF(ROUNDDOWN(F101,0)=$S$14,$U$14,$T$14))</f>
        <v>　レベル　5</v>
      </c>
      <c r="G106" s="3146" t="s">
        <v>1014</v>
      </c>
      <c r="H106" s="3312"/>
      <c r="I106" s="3312"/>
      <c r="J106" s="3313"/>
      <c r="K106" s="953" t="str">
        <f>IF(K101=$S$15,$T$14,IF(ROUNDDOWN(K101,0)=$S$14,$U$14,$T$14))</f>
        <v>　レベル　5</v>
      </c>
      <c r="L106" s="3146" t="s">
        <v>210</v>
      </c>
      <c r="M106" s="3312"/>
      <c r="N106" s="3312"/>
      <c r="O106" s="3313"/>
    </row>
    <row r="107" spans="2:15" ht="15.5">
      <c r="B107" s="960">
        <v>0</v>
      </c>
      <c r="C107" s="960">
        <v>0</v>
      </c>
      <c r="D107" s="908"/>
      <c r="E107" s="1323"/>
      <c r="F107" s="559"/>
      <c r="G107" s="559" t="s">
        <v>1012</v>
      </c>
      <c r="H107" s="559"/>
      <c r="I107" s="559"/>
      <c r="J107" s="559"/>
      <c r="K107" s="909"/>
      <c r="L107" s="909"/>
      <c r="M107" s="909"/>
      <c r="N107" s="909"/>
      <c r="O107" s="909"/>
    </row>
    <row r="108" spans="2:15" ht="15.5">
      <c r="B108" s="1379"/>
      <c r="C108" s="1379"/>
      <c r="D108" s="908"/>
      <c r="E108" s="1323"/>
      <c r="F108" s="559"/>
      <c r="G108" s="559" t="s">
        <v>1013</v>
      </c>
      <c r="H108" s="559"/>
      <c r="I108" s="559"/>
      <c r="J108" s="559"/>
      <c r="K108" s="909"/>
      <c r="L108" s="909"/>
      <c r="M108" s="909"/>
      <c r="N108" s="909"/>
      <c r="O108" s="909"/>
    </row>
    <row r="109" spans="2:15" ht="18.75" customHeight="1">
      <c r="D109" s="908"/>
      <c r="E109" s="1323"/>
      <c r="F109" s="559" t="s">
        <v>2846</v>
      </c>
      <c r="G109" s="559"/>
      <c r="H109" s="559"/>
      <c r="I109" s="559"/>
      <c r="J109" s="909"/>
      <c r="K109" s="909"/>
      <c r="L109" s="909"/>
      <c r="M109" s="909"/>
      <c r="N109" s="909"/>
      <c r="O109" s="909"/>
    </row>
    <row r="110" spans="2:15" ht="16.5" customHeight="1">
      <c r="D110" s="908"/>
      <c r="E110" s="1323"/>
      <c r="F110" s="3429" t="s">
        <v>2847</v>
      </c>
      <c r="G110" s="3430"/>
      <c r="H110" s="1366" t="s">
        <v>2848</v>
      </c>
      <c r="I110" s="1367"/>
      <c r="J110" s="1366" t="s">
        <v>2849</v>
      </c>
      <c r="K110" s="1367"/>
      <c r="L110" s="1367"/>
      <c r="M110" s="1368"/>
      <c r="N110" s="1369" t="s">
        <v>2850</v>
      </c>
      <c r="O110" s="1370"/>
    </row>
    <row r="111" spans="2:15" ht="16.5" customHeight="1">
      <c r="D111" s="908"/>
      <c r="E111" s="1323"/>
      <c r="F111" s="3400">
        <v>1</v>
      </c>
      <c r="G111" s="3400" t="s">
        <v>2851</v>
      </c>
      <c r="H111" s="1372" t="s">
        <v>2852</v>
      </c>
      <c r="I111" s="1373"/>
      <c r="J111" s="1372" t="s">
        <v>430</v>
      </c>
      <c r="K111" s="1373"/>
      <c r="L111" s="1373"/>
      <c r="M111" s="1374"/>
      <c r="N111" s="1372"/>
      <c r="O111" s="1374"/>
    </row>
    <row r="112" spans="2:15" ht="16.5" customHeight="1">
      <c r="D112" s="908"/>
      <c r="E112" s="1323"/>
      <c r="F112" s="3400"/>
      <c r="G112" s="3400"/>
      <c r="H112" s="1372" t="s">
        <v>2854</v>
      </c>
      <c r="I112" s="1373"/>
      <c r="J112" s="1372" t="s">
        <v>2855</v>
      </c>
      <c r="K112" s="1373"/>
      <c r="L112" s="1373"/>
      <c r="M112" s="1374"/>
      <c r="N112" s="1372" t="s">
        <v>2856</v>
      </c>
      <c r="O112" s="1374"/>
    </row>
    <row r="113" spans="4:15" ht="16.5" customHeight="1">
      <c r="D113" s="908"/>
      <c r="E113" s="1323"/>
      <c r="F113" s="3400"/>
      <c r="G113" s="3400"/>
      <c r="H113" s="1372" t="s">
        <v>2857</v>
      </c>
      <c r="I113" s="1373"/>
      <c r="J113" s="1372" t="s">
        <v>2688</v>
      </c>
      <c r="K113" s="1373"/>
      <c r="L113" s="1373"/>
      <c r="M113" s="1374"/>
      <c r="N113" s="1372"/>
      <c r="O113" s="1374"/>
    </row>
    <row r="114" spans="4:15" ht="16.5" customHeight="1">
      <c r="D114" s="908"/>
      <c r="E114" s="1323"/>
      <c r="F114" s="3431">
        <v>2</v>
      </c>
      <c r="G114" s="3431" t="s">
        <v>1270</v>
      </c>
      <c r="H114" s="1372" t="s">
        <v>2689</v>
      </c>
      <c r="I114" s="1373"/>
      <c r="J114" s="1372" t="s">
        <v>2690</v>
      </c>
      <c r="K114" s="1373"/>
      <c r="L114" s="1373"/>
      <c r="M114" s="1374"/>
      <c r="N114" s="1372"/>
      <c r="O114" s="1374"/>
    </row>
    <row r="115" spans="4:15" ht="16.5" customHeight="1">
      <c r="D115" s="908"/>
      <c r="E115" s="1323"/>
      <c r="F115" s="3432"/>
      <c r="G115" s="3432"/>
      <c r="H115" s="1372" t="s">
        <v>2691</v>
      </c>
      <c r="I115" s="1373"/>
      <c r="J115" s="1372" t="s">
        <v>2692</v>
      </c>
      <c r="K115" s="1373"/>
      <c r="L115" s="1373"/>
      <c r="M115" s="1374"/>
      <c r="N115" s="1372"/>
      <c r="O115" s="1374"/>
    </row>
    <row r="116" spans="4:15" ht="16.5" customHeight="1">
      <c r="D116" s="908"/>
      <c r="E116" s="1323"/>
      <c r="F116" s="3432"/>
      <c r="G116" s="3432"/>
      <c r="H116" s="1372" t="s">
        <v>195</v>
      </c>
      <c r="I116" s="1373"/>
      <c r="J116" s="1372" t="s">
        <v>2692</v>
      </c>
      <c r="K116" s="1373"/>
      <c r="L116" s="1373"/>
      <c r="M116" s="1374"/>
      <c r="N116" s="1372"/>
      <c r="O116" s="1374"/>
    </row>
    <row r="117" spans="4:15" ht="16.5" customHeight="1">
      <c r="D117" s="908"/>
      <c r="E117" s="1323"/>
      <c r="F117" s="3433"/>
      <c r="G117" s="3433"/>
      <c r="H117" s="1372" t="s">
        <v>1691</v>
      </c>
      <c r="I117" s="1373"/>
      <c r="J117" s="1372" t="s">
        <v>1692</v>
      </c>
      <c r="K117" s="1373"/>
      <c r="L117" s="1373"/>
      <c r="M117" s="1374"/>
      <c r="N117" s="1372"/>
      <c r="O117" s="1374"/>
    </row>
    <row r="118" spans="4:15" ht="16.5" customHeight="1">
      <c r="D118" s="908"/>
      <c r="E118" s="1323"/>
      <c r="F118" s="1371">
        <v>3</v>
      </c>
      <c r="G118" s="1371" t="s">
        <v>1271</v>
      </c>
      <c r="H118" s="1372" t="s">
        <v>1693</v>
      </c>
      <c r="I118" s="1373"/>
      <c r="J118" s="1372"/>
      <c r="K118" s="1373"/>
      <c r="L118" s="1373"/>
      <c r="M118" s="1374"/>
      <c r="N118" s="1372"/>
      <c r="O118" s="1374"/>
    </row>
    <row r="119" spans="4:15" ht="16.5" customHeight="1">
      <c r="D119" s="908"/>
      <c r="E119" s="1323"/>
      <c r="F119" s="1371">
        <v>4</v>
      </c>
      <c r="G119" s="1371" t="s">
        <v>1272</v>
      </c>
      <c r="H119" s="1372" t="s">
        <v>1694</v>
      </c>
      <c r="I119" s="1373"/>
      <c r="J119" s="1372" t="s">
        <v>1695</v>
      </c>
      <c r="K119" s="1373"/>
      <c r="L119" s="1373"/>
      <c r="M119" s="1374"/>
      <c r="N119" s="1372"/>
      <c r="O119" s="1374"/>
    </row>
    <row r="120" spans="4:15" ht="16.5" customHeight="1">
      <c r="D120" s="908"/>
      <c r="E120" s="1323"/>
      <c r="F120" s="3400">
        <v>5</v>
      </c>
      <c r="G120" s="3400" t="s">
        <v>1273</v>
      </c>
      <c r="H120" s="1372" t="s">
        <v>2852</v>
      </c>
      <c r="I120" s="1373"/>
      <c r="J120" s="1372" t="s">
        <v>2853</v>
      </c>
      <c r="K120" s="1373"/>
      <c r="L120" s="1373"/>
      <c r="M120" s="1374"/>
      <c r="N120" s="1372"/>
      <c r="O120" s="1374"/>
    </row>
    <row r="121" spans="4:15" ht="16.5" customHeight="1">
      <c r="D121" s="908"/>
      <c r="E121" s="1323"/>
      <c r="F121" s="3400"/>
      <c r="G121" s="3400"/>
      <c r="H121" s="1372" t="s">
        <v>2854</v>
      </c>
      <c r="I121" s="1373"/>
      <c r="J121" s="1372" t="s">
        <v>2855</v>
      </c>
      <c r="K121" s="1373"/>
      <c r="L121" s="1373"/>
      <c r="M121" s="1374"/>
      <c r="N121" s="1372"/>
      <c r="O121" s="1374"/>
    </row>
    <row r="122" spans="4:15" ht="16.5" customHeight="1">
      <c r="D122" s="908"/>
      <c r="E122" s="1323"/>
      <c r="F122" s="3400"/>
      <c r="G122" s="3400"/>
      <c r="H122" s="1372" t="s">
        <v>2857</v>
      </c>
      <c r="I122" s="1373"/>
      <c r="J122" s="1372" t="s">
        <v>2688</v>
      </c>
      <c r="K122" s="1373"/>
      <c r="L122" s="1373"/>
      <c r="M122" s="1374"/>
      <c r="N122" s="1372"/>
      <c r="O122" s="1374"/>
    </row>
    <row r="123" spans="4:15" ht="16.5" customHeight="1">
      <c r="D123" s="908"/>
      <c r="E123" s="1323"/>
      <c r="F123" s="1371">
        <v>6</v>
      </c>
      <c r="G123" s="1371" t="s">
        <v>431</v>
      </c>
      <c r="H123" s="1372" t="s">
        <v>432</v>
      </c>
      <c r="I123" s="1373"/>
      <c r="J123" s="1372" t="s">
        <v>433</v>
      </c>
      <c r="K123" s="1373"/>
      <c r="L123" s="1373"/>
      <c r="M123" s="1374"/>
      <c r="N123" s="1372"/>
      <c r="O123" s="1374"/>
    </row>
    <row r="124" spans="4:15" ht="16.5" customHeight="1">
      <c r="D124" s="908"/>
      <c r="E124" s="1323"/>
      <c r="F124" s="3400">
        <v>7</v>
      </c>
      <c r="G124" s="3400" t="s">
        <v>1696</v>
      </c>
      <c r="H124" s="1372" t="s">
        <v>434</v>
      </c>
      <c r="I124" s="1373"/>
      <c r="J124" s="1372" t="s">
        <v>435</v>
      </c>
      <c r="K124" s="1373"/>
      <c r="L124" s="1373"/>
      <c r="M124" s="1374"/>
      <c r="N124" s="1372"/>
      <c r="O124" s="1374"/>
    </row>
    <row r="125" spans="4:15" ht="16.5" customHeight="1">
      <c r="D125" s="908"/>
      <c r="E125" s="1323"/>
      <c r="F125" s="3400"/>
      <c r="G125" s="3400"/>
      <c r="H125" s="1372" t="s">
        <v>1697</v>
      </c>
      <c r="I125" s="1373"/>
      <c r="J125" s="1372" t="s">
        <v>436</v>
      </c>
      <c r="K125" s="1373"/>
      <c r="L125" s="1373"/>
      <c r="M125" s="1374"/>
      <c r="N125" s="1372"/>
      <c r="O125" s="1374"/>
    </row>
    <row r="126" spans="4:15" ht="16.5" customHeight="1">
      <c r="D126" s="908"/>
      <c r="E126" s="1323"/>
      <c r="F126" s="3400"/>
      <c r="G126" s="3400"/>
      <c r="H126" s="1372" t="s">
        <v>1698</v>
      </c>
      <c r="I126" s="1373"/>
      <c r="J126" s="1372" t="s">
        <v>437</v>
      </c>
      <c r="K126" s="1373"/>
      <c r="L126" s="1373"/>
      <c r="M126" s="1374"/>
      <c r="N126" s="1372"/>
      <c r="O126" s="1374"/>
    </row>
    <row r="127" spans="4:15" ht="16.5" customHeight="1">
      <c r="D127" s="908"/>
      <c r="E127" s="1323"/>
      <c r="F127" s="3434"/>
      <c r="G127" s="3434"/>
      <c r="H127" s="1372" t="s">
        <v>365</v>
      </c>
      <c r="I127" s="1373"/>
      <c r="J127" s="1372" t="s">
        <v>3365</v>
      </c>
      <c r="K127" s="1373"/>
      <c r="L127" s="1373"/>
      <c r="M127" s="1374"/>
      <c r="N127" s="1372"/>
      <c r="O127" s="1374"/>
    </row>
    <row r="128" spans="4:15" ht="18" customHeight="1">
      <c r="D128" s="908"/>
      <c r="E128" s="559"/>
      <c r="F128" s="559"/>
      <c r="G128" s="559" t="s">
        <v>746</v>
      </c>
      <c r="H128" s="559"/>
      <c r="I128" s="559"/>
      <c r="J128" s="909"/>
      <c r="K128" s="909"/>
      <c r="L128" s="909"/>
      <c r="M128" s="909"/>
      <c r="N128" s="909"/>
      <c r="O128" s="909"/>
    </row>
    <row r="129" spans="2:15" ht="18" customHeight="1">
      <c r="D129" s="1326">
        <v>4.2</v>
      </c>
      <c r="E129" s="1143" t="s">
        <v>1018</v>
      </c>
      <c r="F129" s="2111"/>
      <c r="J129" s="999" t="e">
        <f>IF(OR(F131=0,AND(J130=0,O130=0)),$R$3,"")</f>
        <v>#DIV/0!</v>
      </c>
      <c r="K129" s="2111"/>
      <c r="L129" s="2114"/>
      <c r="M129" s="2113"/>
      <c r="N129" s="2113"/>
      <c r="O129" s="999"/>
    </row>
    <row r="130" spans="2:15" ht="14.5" thickBot="1">
      <c r="D130" s="2282"/>
      <c r="E130" s="1327"/>
      <c r="F130" s="1065"/>
      <c r="G130" s="924"/>
      <c r="H130" s="925"/>
      <c r="I130" s="926" t="s">
        <v>1364</v>
      </c>
      <c r="J130" s="927" t="e">
        <f>重み!M141</f>
        <v>#DIV/0!</v>
      </c>
      <c r="K130" s="1065"/>
      <c r="L130" s="924"/>
      <c r="M130" s="925"/>
      <c r="N130" s="926" t="s">
        <v>1364</v>
      </c>
      <c r="O130" s="929" t="e">
        <f>重み!M144</f>
        <v>#DIV/0!</v>
      </c>
    </row>
    <row r="131" spans="2:15" ht="25.5" customHeight="1" thickBot="1">
      <c r="D131" s="908"/>
      <c r="E131" s="1323"/>
      <c r="F131" s="930">
        <v>3</v>
      </c>
      <c r="G131" s="1017" t="s">
        <v>2567</v>
      </c>
      <c r="H131" s="1017"/>
      <c r="I131" s="1017"/>
      <c r="J131" s="1017"/>
      <c r="K131" s="930">
        <v>3</v>
      </c>
      <c r="L131" s="934" t="s">
        <v>1905</v>
      </c>
      <c r="M131" s="935"/>
      <c r="N131" s="935"/>
      <c r="O131" s="936"/>
    </row>
    <row r="132" spans="2:15" ht="21" customHeight="1">
      <c r="B132" s="1">
        <v>1</v>
      </c>
      <c r="C132" s="1">
        <v>1</v>
      </c>
      <c r="D132" s="908"/>
      <c r="E132" s="1323"/>
      <c r="F132" s="942" t="str">
        <f>IF(F131=$S$15,$T$10,IF(AND($O$3=$U$3,ROUNDDOWN(F131,0)=$S$10),$U$10,$T$10))</f>
        <v>　レベル　1</v>
      </c>
      <c r="G132" s="2109" t="s">
        <v>827</v>
      </c>
      <c r="H132" s="1361"/>
      <c r="I132" s="1361"/>
      <c r="J132" s="1361"/>
      <c r="K132" s="937" t="str">
        <f>IF(K131=$S$15,$T$10,IF(ROUNDDOWN(K131,0)=$S$10,$U$10,$T$10))</f>
        <v>　レベル　1</v>
      </c>
      <c r="L132" s="2109" t="s">
        <v>1615</v>
      </c>
      <c r="M132" s="2117"/>
      <c r="N132" s="2117"/>
      <c r="O132" s="2118"/>
    </row>
    <row r="133" spans="2:15" ht="21" customHeight="1">
      <c r="B133" s="1">
        <v>2</v>
      </c>
      <c r="C133" s="1">
        <v>2</v>
      </c>
      <c r="D133" s="908"/>
      <c r="E133" s="1323"/>
      <c r="F133" s="942" t="str">
        <f>IF(F131=$S$15,$T$11,IF(AND($O$3=$U$3,ROUNDDOWN(F131,0)=$S$11),$U$11,$T$11))</f>
        <v>　レベル　2</v>
      </c>
      <c r="G133" s="1173" t="s">
        <v>828</v>
      </c>
      <c r="H133" s="1361"/>
      <c r="I133" s="1361"/>
      <c r="J133" s="1361"/>
      <c r="K133" s="1089" t="str">
        <f>IF(K131=$S$15,$T$11,IF(ROUNDDOWN(K131,0)=$S$11,$U$11,$T$11))</f>
        <v>　レベル　2</v>
      </c>
      <c r="L133" s="1173" t="s">
        <v>1833</v>
      </c>
      <c r="M133" s="1174"/>
      <c r="N133" s="1174"/>
      <c r="O133" s="1175"/>
    </row>
    <row r="134" spans="2:15" ht="25.5" customHeight="1">
      <c r="B134" s="1">
        <v>3</v>
      </c>
      <c r="C134" s="1">
        <v>3</v>
      </c>
      <c r="D134" s="908"/>
      <c r="E134" s="1323"/>
      <c r="F134" s="942" t="str">
        <f>IF(F131=$S$15,$T$12,IF(AND($O$3=$U$3,ROUNDDOWN(F131,0)=$S$12),$U$12,$T$12))</f>
        <v>　レベル　3</v>
      </c>
      <c r="G134" s="3148" t="s">
        <v>747</v>
      </c>
      <c r="H134" s="3165"/>
      <c r="I134" s="3165"/>
      <c r="J134" s="3192"/>
      <c r="K134" s="1089" t="str">
        <f>IF(K131=$S$15,$T$12,IF(ROUNDDOWN(K131,0)=$S$12,$U$12,$T$12))</f>
        <v>■レベル　3</v>
      </c>
      <c r="L134" s="1173" t="s">
        <v>1616</v>
      </c>
      <c r="M134" s="1174"/>
      <c r="N134" s="1174"/>
      <c r="O134" s="1175"/>
    </row>
    <row r="135" spans="2:15" ht="42.75" customHeight="1">
      <c r="B135" s="1">
        <v>4</v>
      </c>
      <c r="C135" s="1">
        <v>4</v>
      </c>
      <c r="D135" s="908"/>
      <c r="E135" s="1323"/>
      <c r="F135" s="942" t="str">
        <f>IF(F131=$S$15,$T$13,IF(AND($O$3=$U$3,ROUNDDOWN(F131,0)=$S$13),$U$13,$T$13))</f>
        <v>　レベル　4</v>
      </c>
      <c r="G135" s="3148" t="s">
        <v>2910</v>
      </c>
      <c r="H135" s="3314"/>
      <c r="I135" s="3314"/>
      <c r="J135" s="3315"/>
      <c r="K135" s="1089" t="str">
        <f>IF(K131=$S$15,$T$13,IF(ROUNDDOWN(K131,0)=$S$13,$U$13,$T$13))</f>
        <v>　レベル　4</v>
      </c>
      <c r="L135" s="3148" t="s">
        <v>1617</v>
      </c>
      <c r="M135" s="3314"/>
      <c r="N135" s="3314"/>
      <c r="O135" s="3315"/>
    </row>
    <row r="136" spans="2:15" ht="40.5" customHeight="1">
      <c r="B136" s="1">
        <v>5</v>
      </c>
      <c r="C136" s="1">
        <v>5</v>
      </c>
      <c r="D136" s="908"/>
      <c r="E136" s="1323"/>
      <c r="F136" s="953" t="str">
        <f>IF(F131=$S$15,$T$14,IF(AND($O$3=$U$3,ROUNDDOWN(F131,0)=$S$14),$U$14,$T$14))</f>
        <v>　レベル　5</v>
      </c>
      <c r="G136" s="3146" t="s">
        <v>2911</v>
      </c>
      <c r="H136" s="3312"/>
      <c r="I136" s="3312"/>
      <c r="J136" s="3313"/>
      <c r="K136" s="953" t="str">
        <f>IF(K131=$S$15,$T$14,IF(ROUNDDOWN(K131,0)=$S$14,$U$14,$T$14))</f>
        <v>　レベル　5</v>
      </c>
      <c r="L136" s="3146" t="s">
        <v>1618</v>
      </c>
      <c r="M136" s="3312"/>
      <c r="N136" s="3312"/>
      <c r="O136" s="3313"/>
    </row>
    <row r="137" spans="2:15" ht="9.75" customHeight="1">
      <c r="B137" s="960">
        <v>0</v>
      </c>
      <c r="C137" s="960">
        <v>0</v>
      </c>
      <c r="D137" s="908"/>
    </row>
    <row r="138" spans="2:15" ht="14" hidden="1">
      <c r="E138" s="2112"/>
      <c r="K138" s="2111"/>
      <c r="L138" s="2116"/>
      <c r="M138" s="2123"/>
      <c r="N138" s="2123"/>
      <c r="O138" s="999"/>
    </row>
    <row r="139" spans="2:15" ht="14" hidden="1">
      <c r="E139" s="2115"/>
    </row>
    <row r="140" spans="2:15" ht="15.5" hidden="1">
      <c r="D140" s="908"/>
      <c r="E140" s="2115"/>
    </row>
    <row r="141" spans="2:15" ht="15.5" hidden="1">
      <c r="B141" s="1">
        <v>1</v>
      </c>
      <c r="C141" s="1" t="s">
        <v>2177</v>
      </c>
      <c r="D141" s="908"/>
      <c r="E141" s="2115"/>
    </row>
    <row r="142" spans="2:15" ht="15.5" hidden="1">
      <c r="B142" s="1" t="s">
        <v>2177</v>
      </c>
      <c r="C142" s="1" t="s">
        <v>2177</v>
      </c>
      <c r="D142" s="908"/>
      <c r="E142" s="2115"/>
    </row>
    <row r="143" spans="2:15" ht="15.5" hidden="1">
      <c r="B143" s="1">
        <v>3</v>
      </c>
      <c r="C143" s="1">
        <v>3</v>
      </c>
      <c r="D143" s="908"/>
      <c r="E143" s="2115"/>
    </row>
    <row r="144" spans="2:15" ht="27" hidden="1" customHeight="1">
      <c r="B144" s="1">
        <v>4</v>
      </c>
      <c r="C144" s="1">
        <v>4</v>
      </c>
      <c r="D144" s="908"/>
      <c r="E144" s="2115"/>
    </row>
    <row r="145" spans="2:15" ht="34.5" hidden="1" customHeight="1">
      <c r="B145" s="1">
        <v>5</v>
      </c>
      <c r="C145" s="1">
        <v>5</v>
      </c>
      <c r="D145" s="908"/>
      <c r="E145" s="2115"/>
    </row>
    <row r="146" spans="2:15" ht="15.5" hidden="1">
      <c r="B146" s="960">
        <v>0</v>
      </c>
      <c r="C146" s="960">
        <v>0</v>
      </c>
      <c r="D146" s="908"/>
      <c r="E146" s="2120"/>
      <c r="F146" s="2121"/>
      <c r="G146" s="2121"/>
      <c r="H146" s="2122"/>
      <c r="I146" s="2122"/>
      <c r="J146" s="2122"/>
      <c r="K146" s="2122"/>
      <c r="L146" s="2122"/>
      <c r="M146" s="2122"/>
      <c r="N146" s="2122"/>
      <c r="O146" s="2122"/>
    </row>
    <row r="147" spans="2:15" hidden="1"/>
    <row r="148" spans="2:15" hidden="1"/>
    <row r="149" spans="2:15" hidden="1"/>
    <row r="150" spans="2:15" hidden="1"/>
    <row r="151" spans="2:15" hidden="1"/>
    <row r="152" spans="2:15" hidden="1"/>
    <row r="153" spans="2:15" hidden="1"/>
    <row r="154" spans="2:15" hidden="1"/>
    <row r="155" spans="2:15" hidden="1"/>
    <row r="156" spans="2:15" hidden="1"/>
    <row r="157" spans="2:15" hidden="1"/>
    <row r="158" spans="2:15" hidden="1"/>
    <row r="159" spans="2:15" hidden="1"/>
    <row r="160" spans="2:15"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sheetData>
  <sheetProtection algorithmName="SHA-512" hashValue="mJHOXhaKzoMlFZN3OlcXIL4mq9oRnlKuscsezuwNVvUHOr+rs4kLs2/UWDMCgeFOTQ18KidoogXdJm7AahspzQ==" saltValue="JyRTfLX1jTWq9XKxCiBQzg==" spinCount="100000" sheet="1" objects="1" scenarios="1"/>
  <mergeCells count="61">
    <mergeCell ref="H28:I28"/>
    <mergeCell ref="L105:O105"/>
    <mergeCell ref="H33:J33"/>
    <mergeCell ref="M47:O47"/>
    <mergeCell ref="G134:J134"/>
    <mergeCell ref="K29:K30"/>
    <mergeCell ref="I39:O39"/>
    <mergeCell ref="G48:H52"/>
    <mergeCell ref="M32:O32"/>
    <mergeCell ref="M31:O31"/>
    <mergeCell ref="M33:O33"/>
    <mergeCell ref="G136:J136"/>
    <mergeCell ref="M13:O13"/>
    <mergeCell ref="M14:O14"/>
    <mergeCell ref="L136:O136"/>
    <mergeCell ref="L106:O106"/>
    <mergeCell ref="N88:O92"/>
    <mergeCell ref="F110:G110"/>
    <mergeCell ref="F111:F113"/>
    <mergeCell ref="G111:G113"/>
    <mergeCell ref="F114:F117"/>
    <mergeCell ref="G114:G117"/>
    <mergeCell ref="F124:F127"/>
    <mergeCell ref="L135:O135"/>
    <mergeCell ref="G124:G127"/>
    <mergeCell ref="G135:J135"/>
    <mergeCell ref="N77:O81"/>
    <mergeCell ref="J18:K22"/>
    <mergeCell ref="L16:L17"/>
    <mergeCell ref="M18:O18"/>
    <mergeCell ref="M19:O19"/>
    <mergeCell ref="I9:J9"/>
    <mergeCell ref="K9:L9"/>
    <mergeCell ref="M10:O10"/>
    <mergeCell ref="M11:O11"/>
    <mergeCell ref="M12:O12"/>
    <mergeCell ref="G12:H12"/>
    <mergeCell ref="I12:J12"/>
    <mergeCell ref="K12:L12"/>
    <mergeCell ref="G13:H13"/>
    <mergeCell ref="G14:H14"/>
    <mergeCell ref="I14:J14"/>
    <mergeCell ref="I13:J13"/>
    <mergeCell ref="K13:L13"/>
    <mergeCell ref="K14:L14"/>
    <mergeCell ref="F16:F17"/>
    <mergeCell ref="G16:G17"/>
    <mergeCell ref="F120:F122"/>
    <mergeCell ref="G120:G122"/>
    <mergeCell ref="G106:J106"/>
    <mergeCell ref="G104:J104"/>
    <mergeCell ref="G105:J105"/>
    <mergeCell ref="H32:J32"/>
    <mergeCell ref="H31:J31"/>
    <mergeCell ref="I40:O40"/>
    <mergeCell ref="I41:O41"/>
    <mergeCell ref="I48:J52"/>
    <mergeCell ref="K48:L52"/>
    <mergeCell ref="M20:O20"/>
    <mergeCell ref="M21:O21"/>
    <mergeCell ref="H18:I22"/>
  </mergeCells>
  <phoneticPr fontId="22"/>
  <conditionalFormatting sqref="F101 F131 F8 F87 F76">
    <cfRule type="expression" dxfId="97" priority="18" stopIfTrue="1">
      <formula>AND(OR(F8&lt;1,F8&gt;5),F8&lt;&gt;0)</formula>
    </cfRule>
    <cfRule type="expression" dxfId="96" priority="19" stopIfTrue="1">
      <formula>$J7&gt;0</formula>
    </cfRule>
  </conditionalFormatting>
  <conditionalFormatting sqref="L28">
    <cfRule type="expression" dxfId="95" priority="20" stopIfTrue="1">
      <formula>AND(OR(L28&lt;1,L28&gt;5),L28&lt;&gt;0)</formula>
    </cfRule>
    <cfRule type="expression" dxfId="94" priority="21" stopIfTrue="1">
      <formula>O28&gt;0</formula>
    </cfRule>
  </conditionalFormatting>
  <conditionalFormatting sqref="K101">
    <cfRule type="expression" dxfId="93" priority="24" stopIfTrue="1">
      <formula>AND(OR(K101&lt;1,K101&gt;5),K101&lt;&gt;0)</formula>
    </cfRule>
    <cfRule type="expression" dxfId="92" priority="25" stopIfTrue="1">
      <formula>$O$100</formula>
    </cfRule>
  </conditionalFormatting>
  <conditionalFormatting sqref="I36">
    <cfRule type="expression" dxfId="91" priority="26" stopIfTrue="1">
      <formula>$J$28&gt;0</formula>
    </cfRule>
  </conditionalFormatting>
  <conditionalFormatting sqref="F16">
    <cfRule type="cellIs" dxfId="90" priority="28" stopIfTrue="1" operator="equal">
      <formula>#REF!</formula>
    </cfRule>
    <cfRule type="cellIs" dxfId="89" priority="29" stopIfTrue="1" operator="equal">
      <formula>#REF!</formula>
    </cfRule>
    <cfRule type="cellIs" dxfId="88" priority="30" stopIfTrue="1" operator="equal">
      <formula>#REF!</formula>
    </cfRule>
  </conditionalFormatting>
  <conditionalFormatting sqref="H23">
    <cfRule type="expression" dxfId="87" priority="12">
      <formula>$K$16+$O$16&gt;0</formula>
    </cfRule>
  </conditionalFormatting>
  <conditionalFormatting sqref="K131">
    <cfRule type="expression" dxfId="86" priority="8" stopIfTrue="1">
      <formula>AND(OR(K131&lt;1,K131&gt;5),K131&lt;&gt;0)</formula>
    </cfRule>
    <cfRule type="expression" dxfId="85" priority="9" stopIfTrue="1">
      <formula>$O$130</formula>
    </cfRule>
  </conditionalFormatting>
  <conditionalFormatting sqref="H39:H42">
    <cfRule type="expression" dxfId="84" priority="6">
      <formula>AND($J$27&gt;0,$H$34=$T$3)</formula>
    </cfRule>
  </conditionalFormatting>
  <conditionalFormatting sqref="F23">
    <cfRule type="expression" dxfId="83" priority="4" stopIfTrue="1">
      <formula>AND(OR(F23&lt;1,F23&gt;5),F23&lt;&gt;0)</formula>
    </cfRule>
    <cfRule type="expression" dxfId="82" priority="5" stopIfTrue="1">
      <formula>AND(J15&gt;0,H23=$T$4)</formula>
    </cfRule>
  </conditionalFormatting>
  <conditionalFormatting sqref="H34">
    <cfRule type="expression" dxfId="81" priority="3">
      <formula>$K$16+$O$16&gt;0</formula>
    </cfRule>
  </conditionalFormatting>
  <conditionalFormatting sqref="F34">
    <cfRule type="expression" dxfId="80" priority="1" stopIfTrue="1">
      <formula>AND(OR(F34&lt;1,F34&gt;5),F34&lt;&gt;0)</formula>
    </cfRule>
    <cfRule type="expression" dxfId="79" priority="2" stopIfTrue="1">
      <formula>AND(J26&gt;0,H34=$T$4)</formula>
    </cfRule>
  </conditionalFormatting>
  <dataValidations xWindow="404" yWindow="579" count="8">
    <dataValidation type="list" allowBlank="1" showInputMessage="1" sqref="F8 F87 F76 F131">
      <formula1>$B9:$B14</formula1>
    </dataValidation>
    <dataValidation type="list" allowBlank="1" showInputMessage="1" sqref="F101">
      <formula1>$B$102:$B$107</formula1>
    </dataValidation>
    <dataValidation allowBlank="1" showInputMessage="1" sqref="I36"/>
    <dataValidation type="list" allowBlank="1" showInputMessage="1" sqref="K101 K131">
      <formula1>$C$102:$C$107</formula1>
    </dataValidation>
    <dataValidation type="list" allowBlank="1" showInputMessage="1" showErrorMessage="1" sqref="H23 H34">
      <formula1>$T$3:$T$4</formula1>
    </dataValidation>
    <dataValidation type="list" allowBlank="1" showInputMessage="1" sqref="L28">
      <formula1>$C$29:$C$34</formula1>
    </dataValidation>
    <dataValidation type="list" allowBlank="1" showInputMessage="1" showErrorMessage="1" sqref="H39:H42">
      <formula1>"○,　"</formula1>
    </dataValidation>
    <dataValidation type="list" allowBlank="1" showInputMessage="1" sqref="F23 F34">
      <formula1>$B18:$B23</formula1>
    </dataValidation>
  </dataValidations>
  <printOptions horizontalCentered="1"/>
  <pageMargins left="0.59055118110236227" right="0.59055118110236227" top="0.78740157480314965" bottom="0.59055118110236227" header="0.51181102362204722" footer="0.51181102362204722"/>
  <pageSetup paperSize="9" scale="80" fitToHeight="0" orientation="portrait" verticalDpi="4294967293" r:id="rId1"/>
  <headerFooter alignWithMargins="0">
    <oddHeader>&amp;L&amp;F&amp;R&amp;A</oddHeader>
    <oddFooter>&amp;C&amp;P/&amp;N</oddFooter>
  </headerFooter>
  <rowBreaks count="1" manualBreakCount="1">
    <brk id="97" min="2" max="1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B323"/>
  <sheetViews>
    <sheetView showGridLines="0" zoomScaleNormal="100" zoomScaleSheetLayoutView="100" workbookViewId="0">
      <selection activeCell="Q29" sqref="Q1:XFD1048576"/>
    </sheetView>
  </sheetViews>
  <sheetFormatPr defaultColWidth="0" defaultRowHeight="13" zeroHeight="1"/>
  <cols>
    <col min="1" max="2" width="1.36328125" customWidth="1"/>
    <col min="3" max="3" width="2.08984375" customWidth="1"/>
    <col min="4" max="4" width="2.453125" customWidth="1"/>
    <col min="5" max="5" width="10.7265625" customWidth="1"/>
    <col min="6" max="6" width="9.6328125" customWidth="1"/>
    <col min="7" max="7" width="9.26953125" customWidth="1"/>
    <col min="8" max="8" width="9.453125" customWidth="1"/>
    <col min="9" max="9" width="1.26953125" customWidth="1"/>
    <col min="10" max="10" width="9.90625" customWidth="1"/>
    <col min="11" max="11" width="7.90625" customWidth="1"/>
    <col min="12" max="13" width="9.453125" customWidth="1"/>
    <col min="14" max="14" width="8.90625" customWidth="1"/>
    <col min="15" max="15" width="2.36328125" customWidth="1"/>
    <col min="16" max="16" width="8.90625" customWidth="1"/>
    <col min="17" max="17" width="2.08984375" style="2417" customWidth="1"/>
    <col min="18" max="18" width="1" customWidth="1"/>
    <col min="19" max="19" width="23.453125" hidden="1" customWidth="1"/>
    <col min="20" max="20" width="13.36328125" hidden="1" customWidth="1"/>
    <col min="21" max="21" width="6.7265625" hidden="1" customWidth="1"/>
    <col min="22" max="22" width="9.08984375" hidden="1" customWidth="1"/>
    <col min="23" max="23" width="13.90625" hidden="1" customWidth="1"/>
    <col min="24" max="24" width="12.7265625" hidden="1" customWidth="1"/>
    <col min="25" max="25" width="6.7265625" hidden="1" customWidth="1"/>
    <col min="26" max="26" width="6.453125" hidden="1" customWidth="1"/>
    <col min="27" max="27" width="13.90625" hidden="1" customWidth="1"/>
    <col min="28" max="28" width="12.7265625" hidden="1" customWidth="1"/>
    <col min="29" max="16384" width="9" hidden="1"/>
  </cols>
  <sheetData>
    <row r="1" spans="1:28" ht="9.75" customHeight="1" thickBot="1"/>
    <row r="2" spans="1:28" ht="25.5" customHeight="1">
      <c r="B2" s="2058"/>
      <c r="C2" s="2059" t="s">
        <v>3150</v>
      </c>
      <c r="D2" s="2060"/>
      <c r="E2" s="2060"/>
      <c r="F2" s="2061"/>
      <c r="G2" s="2061"/>
      <c r="H2" s="2062"/>
      <c r="I2" s="2060"/>
      <c r="J2" s="2063"/>
      <c r="K2" s="2063"/>
      <c r="L2" s="2063"/>
      <c r="M2" s="2064" t="s">
        <v>2697</v>
      </c>
      <c r="N2" s="2065" t="str">
        <f>メイン!C11</f>
        <v>○○ビル</v>
      </c>
      <c r="O2" s="2065"/>
      <c r="P2" s="2065"/>
      <c r="Q2" s="2066"/>
    </row>
    <row r="3" spans="1:28">
      <c r="B3" s="2071"/>
      <c r="C3" s="2072"/>
      <c r="D3" s="2072"/>
      <c r="E3" s="2072"/>
      <c r="F3" s="2072"/>
      <c r="G3" s="2072"/>
      <c r="H3" s="2072"/>
      <c r="I3" s="2072"/>
      <c r="J3" s="2072"/>
      <c r="K3" s="2072"/>
      <c r="L3" s="2072"/>
      <c r="M3" s="2072"/>
      <c r="N3" s="2072"/>
      <c r="O3" s="2072"/>
      <c r="P3" s="2072"/>
      <c r="Q3" s="2201"/>
    </row>
    <row r="4" spans="1:28" hidden="1">
      <c r="B4" s="2071"/>
      <c r="C4" s="2072"/>
      <c r="D4" s="2072"/>
      <c r="E4" s="2072"/>
      <c r="F4" s="2072"/>
      <c r="G4" s="2072"/>
      <c r="H4" s="2076"/>
      <c r="I4" s="2072"/>
      <c r="J4" s="2072"/>
      <c r="K4" s="2072"/>
      <c r="L4" s="2072"/>
      <c r="M4" s="2072"/>
      <c r="N4" s="2072"/>
      <c r="O4" s="2072"/>
      <c r="P4" s="2072"/>
      <c r="Q4" s="2201"/>
    </row>
    <row r="5" spans="1:28" ht="13.5" thickBot="1">
      <c r="B5" s="2071"/>
      <c r="C5" s="2202" t="s">
        <v>3152</v>
      </c>
      <c r="D5" s="2067" t="s">
        <v>3338</v>
      </c>
      <c r="E5" s="2072"/>
      <c r="F5" s="2072"/>
      <c r="G5" s="2072"/>
      <c r="H5" s="2072"/>
      <c r="I5" s="2072"/>
      <c r="J5" s="2072"/>
      <c r="K5" s="2072"/>
      <c r="L5" s="2072"/>
      <c r="M5" s="2072"/>
      <c r="N5" s="2072"/>
      <c r="O5" s="2072"/>
      <c r="P5" s="2072"/>
      <c r="Q5" s="2201"/>
      <c r="U5" s="2242">
        <f>IF($H$6&lt;=V10,U11,IF($H$6&lt;=V9,U10,IF($H$6&lt;=V8,U9,IF($H$6&lt;=V7,U8,1))))</f>
        <v>4</v>
      </c>
      <c r="W5">
        <f>VLOOKUP($U$5,U7:X11,3)</f>
        <v>-14.285714285714295</v>
      </c>
      <c r="X5">
        <f>VLOOKUP($U$5,U7:X11,4)</f>
        <v>16.857142857142868</v>
      </c>
      <c r="Y5" s="2242">
        <f>IF($H$6&lt;=Z10,Y11,IF($H$6&lt;=Z9,Y10,IF($H$6&lt;=Z8,Y9,IF($H$6&lt;=Z7,Y8,1))))</f>
        <v>4</v>
      </c>
      <c r="AA5">
        <f>VLOOKUP($Y$5,Y7:AB11,3)</f>
        <v>-25.000000000000046</v>
      </c>
      <c r="AB5">
        <f>VLOOKUP($Y$5,Y7:AB11,4)</f>
        <v>27.250000000000043</v>
      </c>
    </row>
    <row r="6" spans="1:28" ht="13.5" thickBot="1">
      <c r="B6" s="2071"/>
      <c r="C6" s="2072"/>
      <c r="D6" s="2067"/>
      <c r="E6" s="2067" t="s">
        <v>134</v>
      </c>
      <c r="F6" s="2067"/>
      <c r="G6" s="2216" t="s">
        <v>3154</v>
      </c>
      <c r="H6" s="2527">
        <v>0.97</v>
      </c>
      <c r="I6" s="2072"/>
      <c r="J6" s="2526">
        <f>メイン!F12</f>
        <v>0</v>
      </c>
      <c r="K6" s="2072"/>
      <c r="L6" s="2481" t="s">
        <v>3180</v>
      </c>
      <c r="M6" s="2849">
        <f>IF(H6="",1,IF(H6&lt;=V11,U11,IF(H6&gt;=V7,U7,H6*W5+X5)))</f>
        <v>3.0000000000000018</v>
      </c>
      <c r="N6" s="2072"/>
      <c r="O6" s="2072"/>
      <c r="P6" s="2072"/>
      <c r="Q6" s="2201"/>
      <c r="T6" t="s">
        <v>2942</v>
      </c>
      <c r="U6" s="1" t="s">
        <v>2491</v>
      </c>
      <c r="V6" s="1" t="s">
        <v>2490</v>
      </c>
      <c r="W6" t="s">
        <v>2777</v>
      </c>
      <c r="X6" t="s">
        <v>2778</v>
      </c>
      <c r="Y6" s="1" t="s">
        <v>2491</v>
      </c>
      <c r="Z6" s="1" t="str">
        <f>メイン!I18</f>
        <v>８地域</v>
      </c>
      <c r="AA6" t="s">
        <v>2777</v>
      </c>
      <c r="AB6" t="s">
        <v>2778</v>
      </c>
    </row>
    <row r="7" spans="1:28">
      <c r="B7" s="2071"/>
      <c r="C7" s="2072"/>
      <c r="D7" s="2072"/>
      <c r="E7" s="2072"/>
      <c r="F7" s="2072"/>
      <c r="G7" s="2072"/>
      <c r="H7" s="2072"/>
      <c r="I7" s="2072"/>
      <c r="J7" s="2072"/>
      <c r="K7" s="2072"/>
      <c r="L7" s="2481" t="s">
        <v>3179</v>
      </c>
      <c r="M7" s="2849">
        <f>IF(H6="",1,IF(H6&lt;=Z11,Y11,IF(H6&gt;=Z7,Y7,H6*AA5+AB5)))</f>
        <v>3</v>
      </c>
      <c r="N7" s="2072"/>
      <c r="O7" s="2480"/>
      <c r="P7" s="2072"/>
      <c r="Q7" s="2522"/>
      <c r="T7" t="s">
        <v>2858</v>
      </c>
      <c r="U7" s="1">
        <v>1</v>
      </c>
      <c r="V7" s="1">
        <v>1.03</v>
      </c>
      <c r="W7" s="2242">
        <v>0</v>
      </c>
      <c r="X7" s="2242">
        <v>1</v>
      </c>
      <c r="Y7" s="1">
        <v>1</v>
      </c>
      <c r="Z7" s="1">
        <v>1.03</v>
      </c>
      <c r="AA7" s="2242">
        <v>0</v>
      </c>
      <c r="AB7" s="2242">
        <v>1</v>
      </c>
    </row>
    <row r="8" spans="1:28" ht="7.5" customHeight="1" thickBot="1">
      <c r="B8" s="2071"/>
      <c r="C8" s="2072"/>
      <c r="D8" s="2072"/>
      <c r="E8" s="2072"/>
      <c r="F8" s="2072"/>
      <c r="G8" s="2072"/>
      <c r="H8" s="2072"/>
      <c r="I8" s="2072"/>
      <c r="J8" s="2204"/>
      <c r="K8" s="2072"/>
      <c r="L8" s="2072"/>
      <c r="M8" s="2072"/>
      <c r="N8" s="2072"/>
      <c r="O8" s="2072"/>
      <c r="P8" s="2072"/>
      <c r="Q8" s="2201"/>
      <c r="T8" t="s">
        <v>2859</v>
      </c>
      <c r="U8" s="1">
        <v>2</v>
      </c>
      <c r="V8" s="1">
        <v>1</v>
      </c>
      <c r="W8">
        <f>(U8-U7)/(V8-V7)</f>
        <v>-33.333333333333307</v>
      </c>
      <c r="X8">
        <f>U8-W8*V8</f>
        <v>35.333333333333307</v>
      </c>
      <c r="Y8" s="1">
        <v>2</v>
      </c>
      <c r="Z8" s="1">
        <v>1</v>
      </c>
      <c r="AA8">
        <f>(Y8-Y7)/(Z8-Z7)</f>
        <v>-33.333333333333307</v>
      </c>
      <c r="AB8">
        <f>Y8-AA8*Z8</f>
        <v>35.333333333333307</v>
      </c>
    </row>
    <row r="9" spans="1:28" ht="13.5" thickBot="1">
      <c r="A9" s="2417"/>
      <c r="B9" s="2071"/>
      <c r="C9" s="2072"/>
      <c r="D9" s="2072"/>
      <c r="E9" s="2067" t="s">
        <v>3153</v>
      </c>
      <c r="F9" s="2072"/>
      <c r="G9" s="2128" t="s">
        <v>656</v>
      </c>
      <c r="H9" s="2473" t="s">
        <v>2779</v>
      </c>
      <c r="I9" s="2072" t="s">
        <v>3177</v>
      </c>
      <c r="J9" s="2072"/>
      <c r="K9" s="2072"/>
      <c r="L9" s="2072"/>
      <c r="M9" s="2072"/>
      <c r="N9" s="2072"/>
      <c r="O9" s="2072"/>
      <c r="P9" s="2072"/>
      <c r="Q9" s="2201"/>
      <c r="T9" t="s">
        <v>2779</v>
      </c>
      <c r="U9" s="1">
        <v>3</v>
      </c>
      <c r="V9" s="1">
        <v>0.97</v>
      </c>
      <c r="W9">
        <f>(U9-U8)/(V9-V8)</f>
        <v>-33.333333333333307</v>
      </c>
      <c r="X9">
        <f>U9-W9*V9</f>
        <v>35.333333333333307</v>
      </c>
      <c r="Y9" s="1">
        <v>3</v>
      </c>
      <c r="Z9" s="1">
        <v>0.97</v>
      </c>
      <c r="AA9">
        <f>(Y9-Y8)/(Z9-Z8)</f>
        <v>-33.333333333333307</v>
      </c>
      <c r="AB9">
        <f>Y9-AA9*Z9</f>
        <v>35.333333333333307</v>
      </c>
    </row>
    <row r="10" spans="1:28" ht="22.5" customHeight="1">
      <c r="B10" s="2071"/>
      <c r="C10" s="2072"/>
      <c r="D10" s="2481"/>
      <c r="E10" s="2544" t="s">
        <v>3178</v>
      </c>
      <c r="F10" s="3439" t="s">
        <v>3549</v>
      </c>
      <c r="G10" s="3439"/>
      <c r="H10" s="3439"/>
      <c r="I10" s="3439"/>
      <c r="J10" s="3439"/>
      <c r="K10" s="3439"/>
      <c r="L10" s="3439"/>
      <c r="M10" s="3439"/>
      <c r="N10" s="3439"/>
      <c r="O10" s="3439"/>
      <c r="P10" s="3439"/>
      <c r="Q10" s="2201"/>
      <c r="T10" t="s">
        <v>2860</v>
      </c>
      <c r="U10" s="1">
        <v>4</v>
      </c>
      <c r="V10" s="1">
        <v>0.9</v>
      </c>
      <c r="W10">
        <f>(U10-U9)/(V10-V9)</f>
        <v>-14.285714285714295</v>
      </c>
      <c r="X10">
        <f>U10-W10*V10</f>
        <v>16.857142857142868</v>
      </c>
      <c r="Y10" s="1">
        <v>4</v>
      </c>
      <c r="Z10" s="1">
        <v>0.93</v>
      </c>
      <c r="AA10">
        <f>(Y10-Y9)/(Z10-Z9)</f>
        <v>-25.000000000000046</v>
      </c>
      <c r="AB10">
        <f>Y10-AA10*Z10</f>
        <v>27.250000000000043</v>
      </c>
    </row>
    <row r="11" spans="1:28" s="2417" customFormat="1">
      <c r="B11" s="2071"/>
      <c r="C11" s="2072"/>
      <c r="D11" s="2482"/>
      <c r="E11" s="2544" t="s">
        <v>3176</v>
      </c>
      <c r="F11" s="984" t="s">
        <v>3175</v>
      </c>
      <c r="G11" s="984"/>
      <c r="H11" s="984"/>
      <c r="I11" s="984"/>
      <c r="J11" s="984"/>
      <c r="K11" s="984"/>
      <c r="L11" s="984"/>
      <c r="M11" s="984"/>
      <c r="N11" s="984"/>
      <c r="O11" s="984"/>
      <c r="P11" s="984"/>
      <c r="Q11" s="2201"/>
      <c r="T11" s="2417" t="s">
        <v>3155</v>
      </c>
      <c r="U11" s="1">
        <v>5</v>
      </c>
      <c r="V11" s="1">
        <v>0.8</v>
      </c>
      <c r="W11">
        <f>(U11-U10)/(V11-V10)</f>
        <v>-10.000000000000002</v>
      </c>
      <c r="X11">
        <f>U11-W11*V11</f>
        <v>13.000000000000002</v>
      </c>
      <c r="Y11" s="1">
        <v>5</v>
      </c>
      <c r="Z11" s="1">
        <v>0.85</v>
      </c>
      <c r="AA11">
        <f>(Y11-Y10)/(Z11-Z10)</f>
        <v>-12.499999999999989</v>
      </c>
      <c r="AB11">
        <f>Y11-AA11*Z11</f>
        <v>15.624999999999991</v>
      </c>
    </row>
    <row r="12" spans="1:28" s="2417" customFormat="1" ht="55.5" customHeight="1">
      <c r="B12" s="2071"/>
      <c r="C12" s="2072"/>
      <c r="D12" s="2072"/>
      <c r="E12" s="989"/>
      <c r="F12" s="2544" t="s">
        <v>3180</v>
      </c>
      <c r="G12" s="3439" t="s">
        <v>3550</v>
      </c>
      <c r="H12" s="3439"/>
      <c r="I12" s="3439"/>
      <c r="J12" s="3439"/>
      <c r="K12" s="3439"/>
      <c r="L12" s="3439"/>
      <c r="M12" s="3439"/>
      <c r="N12" s="3439"/>
      <c r="O12" s="3439"/>
      <c r="P12" s="3439"/>
      <c r="Q12" s="2201"/>
      <c r="T12" t="s">
        <v>2861</v>
      </c>
      <c r="U12"/>
      <c r="V12"/>
      <c r="W12"/>
      <c r="X12"/>
      <c r="Y12"/>
      <c r="Z12"/>
      <c r="AA12"/>
      <c r="AB12"/>
    </row>
    <row r="13" spans="1:28" s="2417" customFormat="1" ht="20.25" customHeight="1">
      <c r="B13" s="2071"/>
      <c r="C13" s="2072"/>
      <c r="D13" s="2072"/>
      <c r="E13" s="989"/>
      <c r="F13" s="2544" t="s">
        <v>3179</v>
      </c>
      <c r="G13" s="2545" t="s">
        <v>3551</v>
      </c>
      <c r="H13" s="989"/>
      <c r="I13" s="989"/>
      <c r="J13" s="989"/>
      <c r="K13" s="989"/>
      <c r="L13" s="989"/>
      <c r="M13" s="989"/>
      <c r="N13" s="989"/>
      <c r="O13" s="2523"/>
      <c r="P13" s="984"/>
      <c r="Q13" s="2201"/>
      <c r="T13" s="2417" t="s">
        <v>3202</v>
      </c>
    </row>
    <row r="14" spans="1:28" s="2417" customFormat="1" ht="13.5" thickBot="1">
      <c r="B14" s="2071"/>
      <c r="C14" s="2072"/>
      <c r="D14" s="2072"/>
      <c r="E14" s="2067"/>
      <c r="F14" s="2072"/>
      <c r="G14" s="2475" t="s">
        <v>3173</v>
      </c>
      <c r="H14" s="2475" t="s">
        <v>3199</v>
      </c>
      <c r="I14" s="2072"/>
      <c r="J14" s="2072"/>
      <c r="K14" s="2072"/>
      <c r="L14" s="2472"/>
      <c r="M14" s="2072"/>
      <c r="N14" s="2072"/>
      <c r="O14" s="2072"/>
      <c r="P14" s="2072"/>
      <c r="Q14" s="2201"/>
    </row>
    <row r="15" spans="1:28" ht="13.5" thickBot="1">
      <c r="B15" s="2071"/>
      <c r="C15" s="2072"/>
      <c r="D15" s="2072"/>
      <c r="E15" s="2067"/>
      <c r="F15" s="2076" t="s">
        <v>134</v>
      </c>
      <c r="G15" s="3049"/>
      <c r="H15" s="2203">
        <f>IF(G15+G16=0,0,G15/(G15+G16))</f>
        <v>0</v>
      </c>
      <c r="I15" s="2072"/>
      <c r="J15" s="2774">
        <f>IF(H6="",1,IF(J6=Z6,M7,M6))</f>
        <v>3.0000000000000018</v>
      </c>
      <c r="K15" s="2424"/>
      <c r="L15" s="2472"/>
      <c r="M15" s="2072"/>
      <c r="N15" s="2072"/>
      <c r="O15" s="2072"/>
      <c r="P15" s="2072"/>
      <c r="Q15" s="2201"/>
    </row>
    <row r="16" spans="1:28" ht="13.5" thickBot="1">
      <c r="B16" s="2071"/>
      <c r="C16" s="2072"/>
      <c r="D16" s="2072"/>
      <c r="E16" s="2067"/>
      <c r="F16" s="2076" t="s">
        <v>3153</v>
      </c>
      <c r="G16" s="2081">
        <f>IF(H9=T6,0,メイン!C64)</f>
        <v>0</v>
      </c>
      <c r="H16" s="2203">
        <f>IF(G15+G16=0,0,G16/(G15+G16))</f>
        <v>0</v>
      </c>
      <c r="I16" s="2072"/>
      <c r="J16" s="2774">
        <f>IF(H9="",$T12,IF(H9=T11,U11,IF(H9=T10,U10,IF(H9=T9,U9,IF(H9=T8,U8,U7)))))</f>
        <v>3</v>
      </c>
      <c r="K16" s="2072"/>
      <c r="L16" s="2472"/>
      <c r="M16" s="2072"/>
      <c r="N16" s="2072"/>
      <c r="O16" s="2072"/>
      <c r="P16" s="2072"/>
      <c r="Q16" s="2201"/>
    </row>
    <row r="17" spans="2:24" ht="6.75" customHeight="1" thickBot="1">
      <c r="B17" s="2071"/>
      <c r="C17" s="2072"/>
      <c r="D17" s="2072"/>
      <c r="E17" s="2067"/>
      <c r="F17" s="2072"/>
      <c r="G17" s="2072"/>
      <c r="H17" s="2072"/>
      <c r="I17" s="2072"/>
      <c r="J17" s="2072"/>
      <c r="K17" s="2072"/>
      <c r="L17" s="2472"/>
      <c r="M17" s="2072"/>
      <c r="N17" s="2072"/>
      <c r="O17" s="2072"/>
      <c r="P17" s="2072"/>
      <c r="Q17" s="2201"/>
    </row>
    <row r="18" spans="2:24" ht="13.5" thickBot="1">
      <c r="B18" s="2071"/>
      <c r="C18" s="2072"/>
      <c r="D18" s="2067" t="s">
        <v>1092</v>
      </c>
      <c r="E18" s="2067"/>
      <c r="F18" s="2072"/>
      <c r="G18" s="2076"/>
      <c r="H18" s="2774">
        <f>SUMPRODUCT(H15:H16,J15:J16)</f>
        <v>0</v>
      </c>
      <c r="I18" s="2072"/>
      <c r="J18" s="2072"/>
      <c r="K18" s="2072"/>
      <c r="L18" s="2072"/>
      <c r="M18" s="2072"/>
      <c r="N18" s="2072"/>
      <c r="O18" s="2072"/>
      <c r="P18" s="2072"/>
      <c r="Q18" s="2201"/>
    </row>
    <row r="19" spans="2:24">
      <c r="B19" s="2071"/>
      <c r="C19" s="2072"/>
      <c r="D19" s="2072"/>
      <c r="E19" s="2072"/>
      <c r="F19" s="2072"/>
      <c r="G19" s="2072"/>
      <c r="H19" s="2072"/>
      <c r="I19" s="2072"/>
      <c r="J19" s="2072"/>
      <c r="K19" s="2072"/>
      <c r="L19" s="2072"/>
      <c r="M19" s="2072"/>
      <c r="N19" s="2072"/>
      <c r="O19" s="2072"/>
      <c r="P19" s="2072"/>
      <c r="Q19" s="2201"/>
    </row>
    <row r="20" spans="2:24" s="2417" customFormat="1" ht="6" hidden="1" customHeight="1">
      <c r="B20" s="2071"/>
      <c r="C20" s="2072"/>
      <c r="D20" s="2072"/>
      <c r="E20" s="2072"/>
      <c r="F20" s="2072"/>
      <c r="G20" s="2072"/>
      <c r="H20" s="2072"/>
      <c r="I20" s="2072"/>
      <c r="J20" s="2072"/>
      <c r="K20" s="2072"/>
      <c r="L20" s="2472"/>
      <c r="M20" s="2072"/>
      <c r="N20" s="2072"/>
      <c r="O20" s="2072"/>
      <c r="P20" s="2072"/>
      <c r="Q20" s="2201"/>
    </row>
    <row r="21" spans="2:24" s="2417" customFormat="1">
      <c r="B21" s="2071"/>
      <c r="C21" s="2202" t="s">
        <v>3151</v>
      </c>
      <c r="D21" s="2067" t="s">
        <v>3522</v>
      </c>
      <c r="E21" s="2072"/>
      <c r="F21" s="2072"/>
      <c r="G21" s="2072"/>
      <c r="H21" s="2072"/>
      <c r="I21" s="2072"/>
      <c r="J21" s="2072"/>
      <c r="K21" s="2072"/>
      <c r="L21" s="2472"/>
      <c r="M21" s="2072"/>
      <c r="N21" s="2072"/>
      <c r="O21" s="2072"/>
      <c r="P21" s="2072"/>
      <c r="Q21" s="2201"/>
    </row>
    <row r="22" spans="2:24" s="2687" customFormat="1" ht="5.25" customHeight="1" thickBot="1">
      <c r="B22" s="2594"/>
      <c r="C22" s="2202"/>
      <c r="D22" s="2593"/>
      <c r="E22" s="2601"/>
      <c r="F22" s="2601"/>
      <c r="G22" s="2424"/>
      <c r="H22" s="2593"/>
      <c r="I22" s="2601"/>
      <c r="J22" s="2601"/>
      <c r="K22" s="2601"/>
      <c r="L22" s="2472"/>
      <c r="M22" s="2601"/>
      <c r="N22" s="2601"/>
      <c r="O22" s="2601"/>
      <c r="P22" s="2601"/>
      <c r="Q22" s="2070"/>
    </row>
    <row r="23" spans="2:24" ht="13.5" thickBot="1">
      <c r="B23" s="2071"/>
      <c r="C23" s="2072"/>
      <c r="D23" s="2593" t="s">
        <v>3534</v>
      </c>
      <c r="E23" s="2067"/>
      <c r="F23" s="2067"/>
      <c r="G23" s="2602" t="s">
        <v>3428</v>
      </c>
      <c r="H23" s="2603">
        <v>0.8</v>
      </c>
      <c r="I23" s="2601"/>
      <c r="J23" s="2774">
        <f>IF(H35=0,0,IF($H$23&lt;=V35,U35,IF(H23&gt;=V31,U31,H23*W29+X29)))</f>
        <v>0</v>
      </c>
      <c r="K23" s="2424" t="s">
        <v>3535</v>
      </c>
      <c r="L23" s="2472"/>
      <c r="M23" s="2072"/>
      <c r="N23" s="2072"/>
      <c r="O23" s="2072"/>
      <c r="P23" s="2072"/>
      <c r="Q23" s="2201"/>
    </row>
    <row r="24" spans="2:24" s="2687" customFormat="1" hidden="1">
      <c r="B24" s="2594"/>
      <c r="C24" s="2601"/>
      <c r="D24" s="2593"/>
      <c r="E24" s="2853" t="s">
        <v>3371</v>
      </c>
      <c r="F24" s="2593"/>
      <c r="G24" s="2593"/>
      <c r="H24" s="2593"/>
      <c r="I24" s="2593"/>
      <c r="J24" s="2593"/>
      <c r="K24" s="2593"/>
      <c r="L24" s="2593"/>
      <c r="M24" s="2601"/>
      <c r="N24" s="2601"/>
      <c r="O24" s="2601"/>
      <c r="P24" s="2601"/>
      <c r="Q24" s="2596"/>
    </row>
    <row r="25" spans="2:24" s="2687" customFormat="1" hidden="1">
      <c r="B25" s="2594"/>
      <c r="C25" s="2601"/>
      <c r="D25" s="2593"/>
      <c r="E25" s="2854" t="s">
        <v>3374</v>
      </c>
      <c r="F25" s="2593"/>
      <c r="G25" s="2593"/>
      <c r="H25" s="2593"/>
      <c r="I25" s="2593"/>
      <c r="J25" s="2593"/>
      <c r="K25" s="2593"/>
      <c r="L25" s="2593"/>
      <c r="M25" s="2601"/>
      <c r="N25" s="2601"/>
      <c r="O25" s="2601"/>
      <c r="P25" s="2601"/>
      <c r="Q25" s="2596"/>
    </row>
    <row r="26" spans="2:24" s="2687" customFormat="1" ht="3" customHeight="1" thickBot="1">
      <c r="B26" s="2594"/>
      <c r="C26" s="2601"/>
      <c r="D26" s="2593"/>
      <c r="E26" s="2593"/>
      <c r="F26" s="2593"/>
      <c r="G26" s="2593"/>
      <c r="H26" s="2593"/>
      <c r="I26" s="2593"/>
      <c r="J26" s="2593"/>
      <c r="K26" s="2593"/>
      <c r="L26" s="2593"/>
      <c r="M26" s="2601"/>
      <c r="N26" s="2601"/>
      <c r="O26" s="2601"/>
      <c r="P26" s="2601"/>
      <c r="Q26" s="2596"/>
    </row>
    <row r="27" spans="2:24" s="2687" customFormat="1" ht="13.5" customHeight="1" thickBot="1">
      <c r="B27" s="2594"/>
      <c r="C27" s="2601"/>
      <c r="D27" s="2593"/>
      <c r="E27" s="2601" t="s">
        <v>3548</v>
      </c>
      <c r="F27" s="2593"/>
      <c r="G27" s="2076" t="s">
        <v>3428</v>
      </c>
      <c r="H27" s="2603"/>
      <c r="I27" s="2601"/>
      <c r="J27" s="2471" t="s">
        <v>3555</v>
      </c>
      <c r="K27" s="2471"/>
      <c r="L27" s="2471"/>
      <c r="M27" s="2471"/>
      <c r="N27" s="2471"/>
      <c r="O27" s="2471"/>
      <c r="P27" s="2471"/>
      <c r="Q27" s="2596"/>
    </row>
    <row r="28" spans="2:24" s="2687" customFormat="1">
      <c r="B28" s="2594"/>
      <c r="C28" s="2601"/>
      <c r="D28" s="2593"/>
      <c r="E28" s="2601"/>
      <c r="F28" s="2601"/>
      <c r="G28" s="2601"/>
      <c r="H28" s="2601"/>
      <c r="I28" s="2601"/>
      <c r="J28" s="2471" t="s">
        <v>3557</v>
      </c>
      <c r="K28" s="2601"/>
      <c r="L28" s="2601"/>
      <c r="M28" s="2601"/>
      <c r="N28" s="2601"/>
      <c r="O28" s="3050"/>
      <c r="P28" s="3050"/>
      <c r="Q28" s="2596"/>
    </row>
    <row r="29" spans="2:24" s="2687" customFormat="1">
      <c r="B29" s="2594"/>
      <c r="C29" s="2601"/>
      <c r="D29" s="2593"/>
      <c r="E29" s="2601"/>
      <c r="F29" s="2593"/>
      <c r="G29" s="2077"/>
      <c r="H29" s="2852"/>
      <c r="I29" s="2601"/>
      <c r="J29" s="2471" t="s">
        <v>3556</v>
      </c>
      <c r="K29" s="2601"/>
      <c r="L29" s="2472"/>
      <c r="M29" s="2601"/>
      <c r="N29" s="2601"/>
      <c r="O29" s="2601"/>
      <c r="P29" s="2601"/>
      <c r="Q29" s="2596"/>
      <c r="U29" s="2479">
        <f>IF($H$23&lt;=V35,U35,IF($H$23&lt;=V34,U34,IF($H$23&lt;=V33,U33,IF($H$23&lt;=V32,U32,U31))))</f>
        <v>1</v>
      </c>
      <c r="V29"/>
      <c r="W29" t="e">
        <f>VLOOKUP($U$29,U31:X35,3)</f>
        <v>#DIV/0!</v>
      </c>
      <c r="X29" t="e">
        <f>VLOOKUP($U$29,U31:X35,4)</f>
        <v>#DIV/0!</v>
      </c>
    </row>
    <row r="30" spans="2:24" s="2417" customFormat="1" ht="72.650000000000006" customHeight="1">
      <c r="B30" s="2071"/>
      <c r="C30" s="2072"/>
      <c r="D30" s="2067"/>
      <c r="E30" s="3443" t="s">
        <v>3553</v>
      </c>
      <c r="F30" s="3443"/>
      <c r="G30" s="3443"/>
      <c r="H30" s="3443"/>
      <c r="I30" s="3443"/>
      <c r="J30" s="3443"/>
      <c r="K30" s="3443"/>
      <c r="L30" s="3443"/>
      <c r="M30" s="3443"/>
      <c r="N30" s="3443"/>
      <c r="O30" s="3443"/>
      <c r="P30" s="2072"/>
      <c r="Q30" s="2201"/>
      <c r="U30" s="1" t="s">
        <v>2491</v>
      </c>
      <c r="V30" s="1" t="s">
        <v>2341</v>
      </c>
      <c r="W30" t="s">
        <v>2777</v>
      </c>
      <c r="X30" t="s">
        <v>2778</v>
      </c>
    </row>
    <row r="31" spans="2:24" s="2417" customFormat="1">
      <c r="B31" s="2071"/>
      <c r="C31" s="2072"/>
      <c r="D31" s="45" t="s">
        <v>3174</v>
      </c>
      <c r="E31" s="2077"/>
      <c r="F31" s="2076"/>
      <c r="G31" s="2475" t="s">
        <v>3173</v>
      </c>
      <c r="H31" s="2475" t="s">
        <v>3199</v>
      </c>
      <c r="I31" s="2072"/>
      <c r="J31" s="857" t="s">
        <v>3172</v>
      </c>
      <c r="K31" s="2474" t="s">
        <v>3171</v>
      </c>
      <c r="L31" s="857" t="s">
        <v>1643</v>
      </c>
      <c r="M31" s="857" t="s">
        <v>3527</v>
      </c>
      <c r="N31" s="857" t="s">
        <v>1645</v>
      </c>
      <c r="O31" s="2067"/>
      <c r="P31" s="2072"/>
      <c r="Q31" s="2201"/>
      <c r="S31" s="2687"/>
      <c r="U31" s="1">
        <v>1</v>
      </c>
      <c r="V31" s="2354">
        <f>J35</f>
        <v>0</v>
      </c>
      <c r="W31" t="e">
        <f>(U32-U31)/(V32-V31)</f>
        <v>#DIV/0!</v>
      </c>
      <c r="X31" t="e">
        <f>U32-W31*V32</f>
        <v>#DIV/0!</v>
      </c>
    </row>
    <row r="32" spans="2:24" s="2417" customFormat="1">
      <c r="B32" s="2071"/>
      <c r="C32" s="2072"/>
      <c r="D32" s="2067"/>
      <c r="E32" s="2072"/>
      <c r="F32" s="2076" t="s">
        <v>3168</v>
      </c>
      <c r="G32" s="2478">
        <f>メイン!C47+メイン!C49+メイン!E60</f>
        <v>0</v>
      </c>
      <c r="H32" s="2524">
        <f>IF($G$35=0,0,G32/$G$35)</f>
        <v>0</v>
      </c>
      <c r="I32" s="2072"/>
      <c r="J32" s="2476">
        <v>1.1000000000000001</v>
      </c>
      <c r="K32" s="2477">
        <v>1</v>
      </c>
      <c r="L32" s="2476">
        <v>0.8</v>
      </c>
      <c r="M32" s="2476">
        <v>0.7</v>
      </c>
      <c r="N32" s="2476">
        <v>0.6</v>
      </c>
      <c r="O32" s="2067"/>
      <c r="P32" s="2072"/>
      <c r="Q32" s="2201"/>
      <c r="U32" s="1">
        <v>2</v>
      </c>
      <c r="V32" s="2354">
        <f>K35</f>
        <v>0</v>
      </c>
      <c r="W32" t="e">
        <f>(U33-U32)/(V33-V32)</f>
        <v>#DIV/0!</v>
      </c>
      <c r="X32" t="e">
        <f>U33-W32*V33</f>
        <v>#DIV/0!</v>
      </c>
    </row>
    <row r="33" spans="1:24" s="2417" customFormat="1">
      <c r="B33" s="2071"/>
      <c r="C33" s="2072"/>
      <c r="D33" s="2067"/>
      <c r="E33" s="2072"/>
      <c r="F33" s="2076" t="s">
        <v>3169</v>
      </c>
      <c r="G33" s="2478">
        <f>メイン!C54+メイン!C56+メイン!C57+メイン!C61+メイン!C62</f>
        <v>0</v>
      </c>
      <c r="H33" s="2524">
        <f>IF($G$35=0,0,G33/$G$35)</f>
        <v>0</v>
      </c>
      <c r="I33" s="2072"/>
      <c r="J33" s="2476">
        <v>1.1000000000000001</v>
      </c>
      <c r="K33" s="2477">
        <v>1</v>
      </c>
      <c r="L33" s="2476">
        <v>0.8</v>
      </c>
      <c r="M33" s="2476">
        <v>0.75</v>
      </c>
      <c r="N33" s="2476">
        <v>0.7</v>
      </c>
      <c r="O33" s="2067"/>
      <c r="P33" s="2072"/>
      <c r="Q33" s="2201"/>
      <c r="U33" s="1">
        <v>3</v>
      </c>
      <c r="V33" s="2354">
        <f>L35</f>
        <v>0</v>
      </c>
      <c r="W33" t="e">
        <f>(U34-U33)/(V34-V33)</f>
        <v>#DIV/0!</v>
      </c>
      <c r="X33" t="e">
        <f>U34-W33*V34</f>
        <v>#DIV/0!</v>
      </c>
    </row>
    <row r="34" spans="1:24" s="2417" customFormat="1">
      <c r="B34" s="2071"/>
      <c r="C34" s="2072"/>
      <c r="D34" s="2067"/>
      <c r="E34" s="2072"/>
      <c r="F34" s="2076" t="s">
        <v>3170</v>
      </c>
      <c r="G34" s="2079">
        <f>メイン!C64</f>
        <v>0</v>
      </c>
      <c r="H34" s="2524">
        <f>IF($G$35=0,0,G34/$G$35)</f>
        <v>0</v>
      </c>
      <c r="I34" s="2072"/>
      <c r="J34" s="2476">
        <v>1.2</v>
      </c>
      <c r="K34" s="2477">
        <v>1.1000000000000001</v>
      </c>
      <c r="L34" s="2476">
        <v>1</v>
      </c>
      <c r="M34" s="2476">
        <v>0.9</v>
      </c>
      <c r="N34" s="2476">
        <v>0.85</v>
      </c>
      <c r="O34" s="2067"/>
      <c r="P34" s="2072"/>
      <c r="Q34" s="2201"/>
      <c r="U34" s="1">
        <v>4</v>
      </c>
      <c r="V34" s="2354">
        <f>M35</f>
        <v>0</v>
      </c>
      <c r="W34" t="e">
        <f>(U35-U34)/(V35-V34)</f>
        <v>#DIV/0!</v>
      </c>
      <c r="X34" t="e">
        <f>U35-W34*V35</f>
        <v>#DIV/0!</v>
      </c>
    </row>
    <row r="35" spans="1:24">
      <c r="A35" s="2417"/>
      <c r="B35" s="2071"/>
      <c r="C35" s="2072"/>
      <c r="D35" s="2067"/>
      <c r="E35" s="2072"/>
      <c r="F35" s="2216" t="s">
        <v>3167</v>
      </c>
      <c r="G35" s="2478">
        <f>SUM(G32:G34)</f>
        <v>0</v>
      </c>
      <c r="H35" s="2478">
        <f>SUM(H32:H34)</f>
        <v>0</v>
      </c>
      <c r="I35" s="2072"/>
      <c r="J35" s="2476">
        <f>SUMPRODUCT(J32:J34,$H$32:$H$34)</f>
        <v>0</v>
      </c>
      <c r="K35" s="2477">
        <f>SUMPRODUCT(K32:K34,$H$32:$H$34)</f>
        <v>0</v>
      </c>
      <c r="L35" s="2476">
        <f>SUMPRODUCT(L32:L34,$H$32:$H$34)</f>
        <v>0</v>
      </c>
      <c r="M35" s="2476">
        <f>SUMPRODUCT(M32:M34,$H$32:$H$34)</f>
        <v>0</v>
      </c>
      <c r="N35" s="2476">
        <f>SUMPRODUCT(N32:N34,$H$32:$H$34)</f>
        <v>0</v>
      </c>
      <c r="O35" s="2067"/>
      <c r="P35" s="2072"/>
      <c r="Q35" s="2201"/>
      <c r="R35" s="2417"/>
      <c r="T35" s="2417"/>
      <c r="U35" s="1">
        <v>5</v>
      </c>
      <c r="V35" s="2354">
        <f>N35</f>
        <v>0</v>
      </c>
    </row>
    <row r="36" spans="1:24" s="2687" customFormat="1" ht="13.5" thickBot="1">
      <c r="B36" s="2594"/>
      <c r="C36" s="2601"/>
      <c r="D36" s="2601"/>
      <c r="E36" s="2601"/>
      <c r="F36" s="2424"/>
      <c r="G36" s="2424"/>
      <c r="H36" s="2424"/>
      <c r="I36" s="2424"/>
      <c r="J36" s="2546"/>
      <c r="K36" s="2424"/>
      <c r="L36" s="2424"/>
      <c r="M36" s="2424"/>
      <c r="N36" s="2424"/>
      <c r="O36" s="2601"/>
      <c r="P36" s="2601"/>
      <c r="Q36" s="2596"/>
    </row>
    <row r="37" spans="1:24" ht="13.5" thickBot="1">
      <c r="B37" s="2071"/>
      <c r="C37" s="2072"/>
      <c r="D37" s="2067" t="s">
        <v>658</v>
      </c>
      <c r="E37" s="2067"/>
      <c r="F37" s="2067"/>
      <c r="G37" s="2072"/>
      <c r="H37" s="2774">
        <f>IF(H23="",J77,J23)</f>
        <v>0</v>
      </c>
      <c r="I37" s="2072"/>
      <c r="J37" s="2072"/>
      <c r="K37" s="2067"/>
      <c r="L37" s="2067"/>
      <c r="M37" s="2067"/>
      <c r="N37" s="2072"/>
      <c r="O37" s="2067"/>
      <c r="P37" s="2072"/>
      <c r="Q37" s="2201"/>
    </row>
    <row r="38" spans="1:24" s="2687" customFormat="1">
      <c r="B38" s="2594"/>
      <c r="C38" s="2601"/>
      <c r="D38" s="2593"/>
      <c r="E38" s="2601"/>
      <c r="F38" s="2593"/>
      <c r="G38" s="2601"/>
      <c r="H38" s="2591"/>
      <c r="I38" s="2601"/>
      <c r="J38" s="2593"/>
      <c r="K38" s="2593"/>
      <c r="L38" s="2593"/>
      <c r="M38" s="2601"/>
      <c r="N38" s="2601"/>
      <c r="O38" s="2593"/>
      <c r="P38" s="2601"/>
      <c r="Q38" s="2596"/>
    </row>
    <row r="39" spans="1:24" s="2687" customFormat="1" ht="46.5" customHeight="1">
      <c r="B39" s="2594"/>
      <c r="C39" s="2202"/>
      <c r="D39" s="3443" t="s">
        <v>3554</v>
      </c>
      <c r="E39" s="3443"/>
      <c r="F39" s="3443"/>
      <c r="G39" s="3443"/>
      <c r="H39" s="3443"/>
      <c r="I39" s="3443"/>
      <c r="J39" s="3443"/>
      <c r="K39" s="3443"/>
      <c r="L39" s="3443"/>
      <c r="M39" s="3443"/>
      <c r="N39" s="3443"/>
      <c r="O39" s="3443"/>
      <c r="P39" s="2601"/>
      <c r="Q39" s="2596"/>
    </row>
    <row r="40" spans="1:24" s="2417" customFormat="1" ht="13.5" thickBot="1">
      <c r="B40" s="2071"/>
      <c r="C40" s="2072"/>
      <c r="D40" s="2069" t="s">
        <v>3528</v>
      </c>
      <c r="E40" s="2072"/>
      <c r="F40" s="2067"/>
      <c r="G40" s="2072"/>
      <c r="H40" s="2072"/>
      <c r="I40" s="2072"/>
      <c r="J40" s="2072"/>
      <c r="K40" s="2067"/>
      <c r="L40" s="2067"/>
      <c r="M40" s="2072"/>
      <c r="N40" s="2072"/>
      <c r="O40" s="2067"/>
      <c r="P40" s="2072"/>
      <c r="Q40" s="2201"/>
    </row>
    <row r="41" spans="1:24" s="2417" customFormat="1" ht="13.5" thickBot="1">
      <c r="B41" s="2071"/>
      <c r="C41" s="2072"/>
      <c r="D41" s="2067"/>
      <c r="E41" s="2072"/>
      <c r="F41" s="2067"/>
      <c r="G41" s="2602" t="s">
        <v>3523</v>
      </c>
      <c r="H41" s="2528">
        <v>0.9</v>
      </c>
      <c r="I41" s="2216"/>
      <c r="J41" s="2774" t="e">
        <f>IF(H41="",S41,IF(H41&lt;=V48,U48,IF(H41&gt;=V44,U44,H41*W42+X42)))</f>
        <v>#DIV/0!</v>
      </c>
      <c r="K41" s="2424" t="s">
        <v>3544</v>
      </c>
      <c r="L41" s="2067"/>
      <c r="M41" s="2072"/>
      <c r="N41" s="2072"/>
      <c r="O41" s="2067"/>
      <c r="P41" s="2072"/>
      <c r="Q41" s="2201"/>
      <c r="S41" s="2417" t="s">
        <v>3201</v>
      </c>
    </row>
    <row r="42" spans="1:24" s="2417" customFormat="1">
      <c r="B42" s="2071"/>
      <c r="C42" s="2072"/>
      <c r="D42" s="2067"/>
      <c r="E42" s="2077" t="s">
        <v>3532</v>
      </c>
      <c r="F42" s="2067"/>
      <c r="G42" s="2072"/>
      <c r="H42" s="2072"/>
      <c r="I42" s="2072"/>
      <c r="J42" s="2072"/>
      <c r="K42" s="2067"/>
      <c r="L42" s="2067"/>
      <c r="M42" s="2072"/>
      <c r="N42" s="2072"/>
      <c r="O42" s="2067"/>
      <c r="P42" s="2072"/>
      <c r="Q42" s="2201"/>
      <c r="U42" s="2479" t="e">
        <f>IF($H$41&lt;=V48,U48,IF($H$41&lt;=V47,U47,IF($H$41&lt;=V46,U46,IF($H$41&lt;=V45,U45,U44))))</f>
        <v>#DIV/0!</v>
      </c>
      <c r="W42" s="2417" t="e">
        <f>VLOOKUP($U$42,U44:X48,3)</f>
        <v>#DIV/0!</v>
      </c>
      <c r="X42" s="2417" t="e">
        <f>VLOOKUP($U$42,U44:X48,4)</f>
        <v>#DIV/0!</v>
      </c>
    </row>
    <row r="43" spans="1:24" s="2417" customFormat="1">
      <c r="B43" s="2071"/>
      <c r="C43" s="2072"/>
      <c r="D43" s="45"/>
      <c r="E43" s="2076"/>
      <c r="F43" s="2475" t="s">
        <v>3173</v>
      </c>
      <c r="G43" s="2475" t="s">
        <v>3531</v>
      </c>
      <c r="H43" s="2475" t="s">
        <v>3199</v>
      </c>
      <c r="I43" s="2072"/>
      <c r="J43" s="857" t="s">
        <v>3172</v>
      </c>
      <c r="K43" s="2474" t="s">
        <v>3171</v>
      </c>
      <c r="L43" s="857" t="s">
        <v>1643</v>
      </c>
      <c r="M43" s="857" t="s">
        <v>1644</v>
      </c>
      <c r="N43" s="857" t="s">
        <v>1645</v>
      </c>
      <c r="O43" s="2067"/>
      <c r="P43" s="2072"/>
      <c r="Q43" s="2201"/>
      <c r="U43" s="1" t="s">
        <v>1155</v>
      </c>
      <c r="V43" s="1" t="s">
        <v>2341</v>
      </c>
      <c r="W43" s="2417" t="s">
        <v>2777</v>
      </c>
      <c r="X43" s="2417" t="s">
        <v>2778</v>
      </c>
    </row>
    <row r="44" spans="1:24" s="2417" customFormat="1">
      <c r="B44" s="2071"/>
      <c r="C44" s="2072"/>
      <c r="D44" s="45"/>
      <c r="E44" s="2076" t="s">
        <v>3168</v>
      </c>
      <c r="F44" s="2478">
        <f>G32</f>
        <v>0</v>
      </c>
      <c r="G44" s="3049"/>
      <c r="H44" s="2288" t="e">
        <f>G44/G47</f>
        <v>#DIV/0!</v>
      </c>
      <c r="I44" s="2072"/>
      <c r="J44" s="2476">
        <v>1.1000000000000001</v>
      </c>
      <c r="K44" s="2477">
        <v>1</v>
      </c>
      <c r="L44" s="2476">
        <v>0.8</v>
      </c>
      <c r="M44" s="2476">
        <v>0.7</v>
      </c>
      <c r="N44" s="2476">
        <v>0.6</v>
      </c>
      <c r="O44" s="2067"/>
      <c r="P44" s="2072"/>
      <c r="Q44" s="2201"/>
      <c r="U44" s="1">
        <v>1</v>
      </c>
      <c r="V44" s="2354" t="e">
        <f>J47</f>
        <v>#DIV/0!</v>
      </c>
      <c r="W44" s="2417" t="e">
        <f>(U45-U44)/(V45-V44)</f>
        <v>#DIV/0!</v>
      </c>
      <c r="X44" s="2417" t="e">
        <f>U45-W44*V45</f>
        <v>#DIV/0!</v>
      </c>
    </row>
    <row r="45" spans="1:24" s="2417" customFormat="1">
      <c r="B45" s="2071"/>
      <c r="C45" s="2072"/>
      <c r="D45" s="2067"/>
      <c r="E45" s="2076" t="s">
        <v>3169</v>
      </c>
      <c r="F45" s="2478">
        <f>G33</f>
        <v>0</v>
      </c>
      <c r="G45" s="3049"/>
      <c r="H45" s="2288" t="e">
        <f>G45/G47</f>
        <v>#DIV/0!</v>
      </c>
      <c r="I45" s="2072"/>
      <c r="J45" s="2476">
        <v>1.1000000000000001</v>
      </c>
      <c r="K45" s="2477">
        <v>1</v>
      </c>
      <c r="L45" s="2476">
        <v>0.8</v>
      </c>
      <c r="M45" s="2476">
        <v>0.75</v>
      </c>
      <c r="N45" s="2476">
        <v>0.7</v>
      </c>
      <c r="O45" s="2067"/>
      <c r="P45" s="2072"/>
      <c r="Q45" s="2201"/>
      <c r="U45" s="1">
        <v>2</v>
      </c>
      <c r="V45" s="2354" t="e">
        <f>K47</f>
        <v>#DIV/0!</v>
      </c>
      <c r="W45" s="2417" t="e">
        <f>(U46-U45)/(V46-V45)</f>
        <v>#DIV/0!</v>
      </c>
      <c r="X45" s="2417" t="e">
        <f>U46-W45*V46</f>
        <v>#DIV/0!</v>
      </c>
    </row>
    <row r="46" spans="1:24" s="2417" customFormat="1">
      <c r="B46" s="2071"/>
      <c r="C46" s="2072"/>
      <c r="D46" s="2067"/>
      <c r="E46" s="2076" t="s">
        <v>3524</v>
      </c>
      <c r="F46" s="2478">
        <f>メイン!C64</f>
        <v>0</v>
      </c>
      <c r="G46" s="3049"/>
      <c r="H46" s="2288" t="e">
        <f>G46/G47</f>
        <v>#DIV/0!</v>
      </c>
      <c r="I46" s="2072"/>
      <c r="J46" s="2476">
        <v>1.2</v>
      </c>
      <c r="K46" s="2477">
        <v>1.1000000000000001</v>
      </c>
      <c r="L46" s="2476">
        <v>1</v>
      </c>
      <c r="M46" s="2476">
        <v>0.9</v>
      </c>
      <c r="N46" s="2476">
        <v>0.85</v>
      </c>
      <c r="O46" s="2067"/>
      <c r="P46" s="2072"/>
      <c r="Q46" s="2201"/>
      <c r="U46" s="1">
        <v>3</v>
      </c>
      <c r="V46" s="2354" t="e">
        <f>L47</f>
        <v>#DIV/0!</v>
      </c>
      <c r="W46" s="2417" t="e">
        <f>(U47-U46)/(V47-V46)</f>
        <v>#DIV/0!</v>
      </c>
      <c r="X46" s="2417" t="e">
        <f>U47-W46*V47</f>
        <v>#DIV/0!</v>
      </c>
    </row>
    <row r="47" spans="1:24" s="2417" customFormat="1">
      <c r="B47" s="2071"/>
      <c r="C47" s="2072"/>
      <c r="D47" s="2067"/>
      <c r="E47" s="2216" t="s">
        <v>3536</v>
      </c>
      <c r="F47" s="2478">
        <f>SUM(F44:F46)</f>
        <v>0</v>
      </c>
      <c r="G47" s="2478">
        <f>SUM(G44:G46)</f>
        <v>0</v>
      </c>
      <c r="H47" s="2478" t="e">
        <f>SUM(H44:H46)</f>
        <v>#DIV/0!</v>
      </c>
      <c r="I47" s="2072"/>
      <c r="J47" s="2476" t="e">
        <f>SUMPRODUCT(J44:J46,$H$44:$H$46)</f>
        <v>#DIV/0!</v>
      </c>
      <c r="K47" s="2477" t="e">
        <f>SUMPRODUCT(K44:K46,$H$44:$H$46)</f>
        <v>#DIV/0!</v>
      </c>
      <c r="L47" s="2476" t="e">
        <f>SUMPRODUCT(L44:L46,$H$44:$H$46)</f>
        <v>#DIV/0!</v>
      </c>
      <c r="M47" s="2476" t="e">
        <f>SUMPRODUCT(M44:M46,$H$44:$H$46)</f>
        <v>#DIV/0!</v>
      </c>
      <c r="N47" s="2476" t="e">
        <f>SUMPRODUCT(N44:N46,$H$44:$H$46)</f>
        <v>#DIV/0!</v>
      </c>
      <c r="O47" s="2067"/>
      <c r="P47" s="2072"/>
      <c r="Q47" s="2201"/>
      <c r="U47" s="1">
        <v>4</v>
      </c>
      <c r="V47" s="2354" t="e">
        <f>M47</f>
        <v>#DIV/0!</v>
      </c>
      <c r="W47" s="2417" t="e">
        <f>(U48-U47)/(V48-V47)</f>
        <v>#DIV/0!</v>
      </c>
      <c r="X47" s="2417" t="e">
        <f>U48-W47*V48</f>
        <v>#DIV/0!</v>
      </c>
    </row>
    <row r="48" spans="1:24" s="2417" customFormat="1">
      <c r="B48" s="2071"/>
      <c r="C48" s="2072"/>
      <c r="D48" s="2067"/>
      <c r="E48" s="2072"/>
      <c r="F48" s="2067"/>
      <c r="G48" s="2072"/>
      <c r="H48" s="2072"/>
      <c r="I48" s="2072"/>
      <c r="J48" s="2072"/>
      <c r="K48" s="2067"/>
      <c r="L48" s="2067"/>
      <c r="M48" s="2072"/>
      <c r="N48" s="2072"/>
      <c r="O48" s="2067"/>
      <c r="P48" s="2072"/>
      <c r="Q48" s="2201"/>
      <c r="U48" s="1">
        <v>5</v>
      </c>
      <c r="V48" s="2354" t="e">
        <f>N47</f>
        <v>#DIV/0!</v>
      </c>
    </row>
    <row r="49" spans="2:24" s="2687" customFormat="1" ht="13.5" thickBot="1">
      <c r="B49" s="2594"/>
      <c r="C49" s="2601"/>
      <c r="D49" s="2069" t="s">
        <v>3529</v>
      </c>
      <c r="E49" s="2601"/>
      <c r="F49" s="2593"/>
      <c r="G49" s="2601"/>
      <c r="H49" s="2601"/>
      <c r="I49" s="2601"/>
      <c r="J49" s="2601"/>
      <c r="K49" s="2593"/>
      <c r="L49" s="2593"/>
      <c r="M49" s="2601"/>
      <c r="N49" s="2601"/>
      <c r="O49" s="2593"/>
      <c r="P49" s="2601"/>
      <c r="Q49" s="2596"/>
    </row>
    <row r="50" spans="2:24" s="2687" customFormat="1" ht="13.5" thickBot="1">
      <c r="B50" s="2594"/>
      <c r="C50" s="2601"/>
      <c r="D50" s="2593"/>
      <c r="E50" s="2601"/>
      <c r="F50" s="2593"/>
      <c r="G50" s="2602" t="s">
        <v>3530</v>
      </c>
      <c r="H50" s="2603">
        <v>0.8</v>
      </c>
      <c r="I50" s="2602"/>
      <c r="J50" s="2774" t="e">
        <f>IF(H50="",S50,IF(H50&lt;=V57,U57,IF(H50&gt;=V53,U53,H50*W51+X51)))</f>
        <v>#DIV/0!</v>
      </c>
      <c r="K50" s="2593"/>
      <c r="L50" s="2593"/>
      <c r="M50" s="2601"/>
      <c r="N50" s="2601"/>
      <c r="O50" s="2593"/>
      <c r="P50" s="2601"/>
      <c r="Q50" s="2596"/>
      <c r="S50" s="2687" t="s">
        <v>3201</v>
      </c>
    </row>
    <row r="51" spans="2:24" s="2687" customFormat="1">
      <c r="B51" s="2594"/>
      <c r="C51" s="2601"/>
      <c r="D51" s="2593"/>
      <c r="E51" s="2077" t="s">
        <v>3532</v>
      </c>
      <c r="F51" s="2593"/>
      <c r="G51" s="2601"/>
      <c r="H51" s="2601"/>
      <c r="I51" s="2601"/>
      <c r="J51" s="2601"/>
      <c r="K51" s="2593"/>
      <c r="L51" s="2593"/>
      <c r="M51" s="2601"/>
      <c r="N51" s="2601"/>
      <c r="O51" s="2593"/>
      <c r="P51" s="2601"/>
      <c r="Q51" s="2596"/>
      <c r="U51" s="2479" t="e">
        <f>IF($H$50&lt;=V57,U57,IF($H$50&lt;=V56,U56,IF($H$50&lt;=V55,U55,IF($H$50&lt;=V54,U54,U53))))</f>
        <v>#DIV/0!</v>
      </c>
      <c r="W51" s="2687" t="e">
        <f>VLOOKUP($U$51,U53:X57,3)</f>
        <v>#DIV/0!</v>
      </c>
      <c r="X51" s="2687" t="e">
        <f>VLOOKUP($U$51,U53:X57,4)</f>
        <v>#DIV/0!</v>
      </c>
    </row>
    <row r="52" spans="2:24" s="2687" customFormat="1">
      <c r="B52" s="2594"/>
      <c r="C52" s="2601"/>
      <c r="D52" s="2593"/>
      <c r="E52" s="2076"/>
      <c r="F52" s="2475" t="s">
        <v>3173</v>
      </c>
      <c r="G52" s="2475" t="s">
        <v>3531</v>
      </c>
      <c r="H52" s="2475" t="s">
        <v>3199</v>
      </c>
      <c r="I52" s="2601"/>
      <c r="J52" s="857" t="s">
        <v>3172</v>
      </c>
      <c r="K52" s="2474" t="s">
        <v>3171</v>
      </c>
      <c r="L52" s="857" t="s">
        <v>1643</v>
      </c>
      <c r="M52" s="857" t="s">
        <v>1644</v>
      </c>
      <c r="N52" s="857" t="s">
        <v>1645</v>
      </c>
      <c r="O52" s="2593"/>
      <c r="P52" s="2601"/>
      <c r="Q52" s="2596"/>
      <c r="U52" s="1" t="s">
        <v>1155</v>
      </c>
      <c r="V52" s="1" t="s">
        <v>2341</v>
      </c>
      <c r="W52" s="2687" t="s">
        <v>2777</v>
      </c>
      <c r="X52" s="2687" t="s">
        <v>2778</v>
      </c>
    </row>
    <row r="53" spans="2:24" s="2687" customFormat="1">
      <c r="B53" s="2594"/>
      <c r="C53" s="2601"/>
      <c r="D53" s="2593"/>
      <c r="E53" s="2076" t="s">
        <v>3168</v>
      </c>
      <c r="F53" s="2478">
        <f>F44</f>
        <v>0</v>
      </c>
      <c r="G53" s="3049"/>
      <c r="H53" s="2288" t="e">
        <f>G53/G56</f>
        <v>#DIV/0!</v>
      </c>
      <c r="I53" s="2601"/>
      <c r="J53" s="2476">
        <v>1.1000000000000001</v>
      </c>
      <c r="K53" s="2477">
        <v>1</v>
      </c>
      <c r="L53" s="2476">
        <v>0.8</v>
      </c>
      <c r="M53" s="2476">
        <v>0.7</v>
      </c>
      <c r="N53" s="2476">
        <v>0.6</v>
      </c>
      <c r="O53" s="2593"/>
      <c r="P53" s="2601"/>
      <c r="Q53" s="2596"/>
      <c r="U53" s="1">
        <v>1</v>
      </c>
      <c r="V53" s="2354" t="e">
        <f>J56</f>
        <v>#DIV/0!</v>
      </c>
      <c r="W53" s="2687" t="e">
        <f>(U54-U53)/(V54-V53)</f>
        <v>#DIV/0!</v>
      </c>
      <c r="X53" s="2687" t="e">
        <f>U54-W53*V54</f>
        <v>#DIV/0!</v>
      </c>
    </row>
    <row r="54" spans="2:24" s="2687" customFormat="1">
      <c r="B54" s="2594"/>
      <c r="C54" s="2601"/>
      <c r="D54" s="2593"/>
      <c r="E54" s="2076" t="s">
        <v>3169</v>
      </c>
      <c r="F54" s="2478">
        <f>F45</f>
        <v>0</v>
      </c>
      <c r="G54" s="3049"/>
      <c r="H54" s="2288" t="e">
        <f>G54/G56</f>
        <v>#DIV/0!</v>
      </c>
      <c r="I54" s="2601"/>
      <c r="J54" s="2476">
        <v>1.1000000000000001</v>
      </c>
      <c r="K54" s="2477">
        <v>1</v>
      </c>
      <c r="L54" s="2476">
        <v>0.8</v>
      </c>
      <c r="M54" s="2476">
        <v>0.75</v>
      </c>
      <c r="N54" s="2476">
        <v>0.7</v>
      </c>
      <c r="O54" s="2593"/>
      <c r="P54" s="2601"/>
      <c r="Q54" s="2596"/>
      <c r="U54" s="1">
        <v>2</v>
      </c>
      <c r="V54" s="2354" t="e">
        <f>K56</f>
        <v>#DIV/0!</v>
      </c>
      <c r="W54" s="2687" t="e">
        <f>(U55-U54)/(V55-V54)</f>
        <v>#DIV/0!</v>
      </c>
      <c r="X54" s="2687" t="e">
        <f>U55-W54*V55</f>
        <v>#DIV/0!</v>
      </c>
    </row>
    <row r="55" spans="2:24" s="2687" customFormat="1" hidden="1">
      <c r="B55" s="2594"/>
      <c r="C55" s="2601"/>
      <c r="D55" s="2593"/>
      <c r="E55" s="2076" t="s">
        <v>1905</v>
      </c>
      <c r="F55" s="2478"/>
      <c r="G55" s="2478"/>
      <c r="H55" s="2288" t="e">
        <f>G55/G56</f>
        <v>#DIV/0!</v>
      </c>
      <c r="I55" s="2601"/>
      <c r="J55" s="2476">
        <v>1.2</v>
      </c>
      <c r="K55" s="2477">
        <v>1.1000000000000001</v>
      </c>
      <c r="L55" s="2476">
        <v>1</v>
      </c>
      <c r="M55" s="2476">
        <v>0.9</v>
      </c>
      <c r="N55" s="2476">
        <v>0.85</v>
      </c>
      <c r="O55" s="2593"/>
      <c r="P55" s="2601"/>
      <c r="Q55" s="2596"/>
      <c r="U55" s="1">
        <v>3</v>
      </c>
      <c r="V55" s="2354" t="e">
        <f>L56</f>
        <v>#DIV/0!</v>
      </c>
      <c r="W55" s="2687" t="e">
        <f>(U56-U55)/(V56-V55)</f>
        <v>#DIV/0!</v>
      </c>
      <c r="X55" s="2687" t="e">
        <f>U56-W55*V56</f>
        <v>#DIV/0!</v>
      </c>
    </row>
    <row r="56" spans="2:24" s="2687" customFormat="1">
      <c r="B56" s="2594"/>
      <c r="C56" s="2601"/>
      <c r="D56" s="2593"/>
      <c r="E56" s="2602" t="s">
        <v>3536</v>
      </c>
      <c r="F56" s="2478">
        <f>SUM(F53:F55)</f>
        <v>0</v>
      </c>
      <c r="G56" s="2478">
        <f>SUM(G53:G55)</f>
        <v>0</v>
      </c>
      <c r="H56" s="2478" t="e">
        <f>SUM(H53:H55)</f>
        <v>#DIV/0!</v>
      </c>
      <c r="I56" s="2601"/>
      <c r="J56" s="2476" t="e">
        <f>SUMPRODUCT(J53:J55,$H$53:$H$55)</f>
        <v>#DIV/0!</v>
      </c>
      <c r="K56" s="2476" t="e">
        <f t="shared" ref="K56:L56" si="0">SUMPRODUCT(K53:K55,$H$53:$H$55)</f>
        <v>#DIV/0!</v>
      </c>
      <c r="L56" s="2476" t="e">
        <f t="shared" si="0"/>
        <v>#DIV/0!</v>
      </c>
      <c r="M56" s="2476" t="e">
        <f>SUMPRODUCT(M53:M55,$H$53:$H$55)</f>
        <v>#DIV/0!</v>
      </c>
      <c r="N56" s="2476" t="e">
        <f>SUMPRODUCT(N53:N55,$H$53:$H$55)</f>
        <v>#DIV/0!</v>
      </c>
      <c r="O56" s="2593"/>
      <c r="P56" s="2601"/>
      <c r="Q56" s="2596"/>
      <c r="U56" s="1">
        <v>4</v>
      </c>
      <c r="V56" s="2354" t="e">
        <f>M56</f>
        <v>#DIV/0!</v>
      </c>
      <c r="W56" s="2687" t="e">
        <f>(U57-U56)/(V57-V56)</f>
        <v>#DIV/0!</v>
      </c>
      <c r="X56" s="2687" t="e">
        <f>U57-W56*V57</f>
        <v>#DIV/0!</v>
      </c>
    </row>
    <row r="57" spans="2:24" s="2687" customFormat="1">
      <c r="B57" s="2594"/>
      <c r="C57" s="2601"/>
      <c r="D57" s="2593"/>
      <c r="E57" s="2602"/>
      <c r="F57" s="3045"/>
      <c r="G57" s="3045"/>
      <c r="H57" s="3046"/>
      <c r="I57" s="2601"/>
      <c r="J57" s="3047"/>
      <c r="K57" s="3047"/>
      <c r="L57" s="3047"/>
      <c r="M57" s="3047"/>
      <c r="N57" s="3047"/>
      <c r="O57" s="2593"/>
      <c r="P57" s="2601"/>
      <c r="Q57" s="2596"/>
      <c r="U57" s="1">
        <v>5</v>
      </c>
      <c r="V57" s="2354" t="e">
        <f>N56</f>
        <v>#DIV/0!</v>
      </c>
    </row>
    <row r="58" spans="2:24" s="2687" customFormat="1">
      <c r="B58" s="2594"/>
      <c r="C58" s="2601"/>
      <c r="D58" s="2593" t="s">
        <v>3533</v>
      </c>
      <c r="E58" s="2601"/>
      <c r="F58" s="2593"/>
      <c r="G58" s="2601"/>
      <c r="H58" s="2601"/>
      <c r="I58" s="2601"/>
      <c r="J58" s="2601"/>
      <c r="K58" s="2601"/>
      <c r="L58" s="2601"/>
      <c r="M58" s="2601"/>
      <c r="N58" s="2601"/>
      <c r="O58" s="2601"/>
      <c r="P58" s="2601"/>
      <c r="Q58" s="2596"/>
    </row>
    <row r="59" spans="2:24">
      <c r="B59" s="2071"/>
      <c r="C59" s="2072"/>
      <c r="D59" s="2072"/>
      <c r="E59" s="2601" t="s">
        <v>3525</v>
      </c>
      <c r="F59" s="2069"/>
      <c r="G59" s="2069"/>
      <c r="H59" s="2069"/>
      <c r="I59" s="2069"/>
      <c r="J59" s="2069"/>
      <c r="K59" s="2069"/>
      <c r="L59" s="2069"/>
      <c r="M59" s="2072"/>
      <c r="N59" s="2072"/>
      <c r="O59" s="2072"/>
      <c r="P59" s="2072"/>
      <c r="Q59" s="2201"/>
      <c r="S59" s="2242" t="s">
        <v>2924</v>
      </c>
    </row>
    <row r="60" spans="2:24" ht="13.5" customHeight="1">
      <c r="B60" s="2071"/>
      <c r="C60" s="2072"/>
      <c r="D60" s="2072"/>
      <c r="E60" s="3438" t="s">
        <v>3184</v>
      </c>
      <c r="F60" s="3438"/>
      <c r="G60" s="3438"/>
      <c r="H60" s="3438"/>
      <c r="I60" s="3438"/>
      <c r="J60" s="3438"/>
      <c r="K60" s="3438"/>
      <c r="L60" s="3438"/>
      <c r="M60" s="3438"/>
      <c r="N60" s="3438"/>
      <c r="O60" s="3438"/>
      <c r="P60" s="2072"/>
      <c r="Q60" s="2201"/>
      <c r="S60">
        <v>1</v>
      </c>
    </row>
    <row r="61" spans="2:24" ht="31.5" customHeight="1" thickBot="1">
      <c r="B61" s="2071"/>
      <c r="C61" s="2072"/>
      <c r="D61" s="2072"/>
      <c r="E61" s="3438"/>
      <c r="F61" s="3438"/>
      <c r="G61" s="3438"/>
      <c r="H61" s="3438"/>
      <c r="I61" s="3438"/>
      <c r="J61" s="3438"/>
      <c r="K61" s="3438"/>
      <c r="L61" s="3438"/>
      <c r="M61" s="3438"/>
      <c r="N61" s="3438"/>
      <c r="O61" s="3438"/>
      <c r="P61" s="2072"/>
      <c r="Q61" s="2201"/>
      <c r="S61">
        <v>3</v>
      </c>
    </row>
    <row r="62" spans="2:24" ht="13.5" thickBot="1">
      <c r="B62" s="2071"/>
      <c r="C62" s="2072"/>
      <c r="D62" s="2072"/>
      <c r="E62" s="2483" t="s">
        <v>2931</v>
      </c>
      <c r="F62" s="3440" t="s">
        <v>2924</v>
      </c>
      <c r="G62" s="3441"/>
      <c r="H62" s="3442"/>
      <c r="I62" s="2472"/>
      <c r="J62" s="2472"/>
      <c r="K62" s="2472"/>
      <c r="L62" s="2072"/>
      <c r="M62" s="2072"/>
      <c r="N62" s="2072"/>
      <c r="O62" s="2072"/>
      <c r="P62" s="2072"/>
      <c r="Q62" s="2201"/>
    </row>
    <row r="63" spans="2:24" ht="7.5" customHeight="1" thickBot="1">
      <c r="B63" s="2071"/>
      <c r="C63" s="2072"/>
      <c r="D63" s="2072"/>
      <c r="E63" s="2072"/>
      <c r="F63" s="2072"/>
      <c r="G63" s="2072"/>
      <c r="H63" s="2072"/>
      <c r="I63" s="2072"/>
      <c r="J63" s="2067"/>
      <c r="K63" s="2072"/>
      <c r="L63" s="2072"/>
      <c r="M63" s="2072"/>
      <c r="N63" s="2072"/>
      <c r="O63" s="2072"/>
      <c r="P63" s="2072"/>
      <c r="Q63" s="2201"/>
    </row>
    <row r="64" spans="2:24" ht="13.5" thickBot="1">
      <c r="B64" s="2071"/>
      <c r="C64" s="2072"/>
      <c r="D64" s="2072"/>
      <c r="E64" s="2483" t="s">
        <v>2342</v>
      </c>
      <c r="F64" s="2068"/>
      <c r="G64" s="2072"/>
      <c r="H64" s="2072"/>
      <c r="I64" s="2072"/>
      <c r="J64" s="2067"/>
      <c r="K64" s="2483" t="s">
        <v>2343</v>
      </c>
      <c r="L64" s="2068"/>
      <c r="M64" s="2072"/>
      <c r="N64" s="2072"/>
      <c r="O64" s="2072"/>
      <c r="P64" s="2072"/>
      <c r="Q64" s="2201"/>
      <c r="S64" t="s">
        <v>2336</v>
      </c>
      <c r="T64" t="s">
        <v>2334</v>
      </c>
    </row>
    <row r="65" spans="1:27">
      <c r="B65" s="2071"/>
      <c r="C65" s="2072"/>
      <c r="D65" s="2072"/>
      <c r="E65" s="2072"/>
      <c r="F65" s="2424" t="s">
        <v>2925</v>
      </c>
      <c r="G65" s="2424"/>
      <c r="H65" s="2424"/>
      <c r="I65" s="2424"/>
      <c r="J65" s="2546"/>
      <c r="K65" s="2546"/>
      <c r="L65" s="2424" t="s">
        <v>2929</v>
      </c>
      <c r="M65" s="2424"/>
      <c r="N65" s="2424"/>
      <c r="O65" s="2072"/>
      <c r="P65" s="2072"/>
      <c r="Q65" s="2201"/>
      <c r="S65" t="s">
        <v>2338</v>
      </c>
      <c r="T65" t="s">
        <v>2337</v>
      </c>
    </row>
    <row r="66" spans="1:27">
      <c r="B66" s="2071"/>
      <c r="C66" s="2072"/>
      <c r="D66" s="2072"/>
      <c r="E66" s="2072"/>
      <c r="F66" s="2424" t="s">
        <v>2926</v>
      </c>
      <c r="G66" s="2424"/>
      <c r="H66" s="2424"/>
      <c r="I66" s="2424"/>
      <c r="J66" s="2546"/>
      <c r="K66" s="2546"/>
      <c r="L66" s="2424" t="s">
        <v>2930</v>
      </c>
      <c r="M66" s="2424"/>
      <c r="N66" s="2424"/>
      <c r="O66" s="2072"/>
      <c r="P66" s="2072"/>
      <c r="Q66" s="2201"/>
      <c r="S66" t="s">
        <v>2339</v>
      </c>
      <c r="T66" t="s">
        <v>2346</v>
      </c>
    </row>
    <row r="67" spans="1:27">
      <c r="B67" s="2071"/>
      <c r="C67" s="2072"/>
      <c r="D67" s="2072"/>
      <c r="E67" s="2072"/>
      <c r="F67" s="2424" t="s">
        <v>2927</v>
      </c>
      <c r="G67" s="2424"/>
      <c r="H67" s="2424"/>
      <c r="I67" s="2424"/>
      <c r="J67" s="2546"/>
      <c r="K67" s="2546"/>
      <c r="L67" s="2424" t="s">
        <v>2928</v>
      </c>
      <c r="M67" s="2424"/>
      <c r="N67" s="2424"/>
      <c r="O67" s="2072"/>
      <c r="P67" s="2072"/>
      <c r="Q67" s="2201"/>
      <c r="S67" t="s">
        <v>2346</v>
      </c>
    </row>
    <row r="68" spans="1:27">
      <c r="B68" s="2071"/>
      <c r="C68" s="2072"/>
      <c r="D68" s="2072"/>
      <c r="E68" s="2072"/>
      <c r="F68" s="2424" t="s">
        <v>2928</v>
      </c>
      <c r="G68" s="2424"/>
      <c r="H68" s="2424"/>
      <c r="I68" s="2424"/>
      <c r="J68" s="2546"/>
      <c r="K68" s="2424"/>
      <c r="L68" s="2424"/>
      <c r="M68" s="2424"/>
      <c r="N68" s="2424"/>
      <c r="O68" s="2072"/>
      <c r="P68" s="2072"/>
      <c r="Q68" s="2596"/>
      <c r="U68" s="2687"/>
      <c r="V68" s="2687"/>
      <c r="W68" s="2687"/>
      <c r="X68" s="2687"/>
      <c r="Y68" s="2687"/>
      <c r="Z68" s="2687"/>
      <c r="AA68" s="2687"/>
    </row>
    <row r="69" spans="1:27" s="2687" customFormat="1" ht="13.5" hidden="1" thickBot="1">
      <c r="A69" s="2417"/>
      <c r="B69" s="2071"/>
      <c r="C69" s="2072"/>
      <c r="D69" s="2067"/>
      <c r="E69" s="2072"/>
      <c r="F69" s="2067"/>
      <c r="G69" s="2072"/>
      <c r="H69" s="3040"/>
      <c r="I69" s="3041" t="s">
        <v>3198</v>
      </c>
      <c r="J69" s="3042">
        <v>0.8</v>
      </c>
      <c r="K69" s="2424"/>
      <c r="L69" s="2067"/>
      <c r="M69" s="2072"/>
      <c r="N69" s="2072"/>
      <c r="O69" s="2067"/>
      <c r="P69" s="2072"/>
      <c r="Q69" s="2596"/>
      <c r="R69" s="2417"/>
    </row>
    <row r="70" spans="1:27" s="2687" customFormat="1">
      <c r="B70" s="2594"/>
      <c r="C70" s="2601"/>
      <c r="D70" s="2593"/>
      <c r="E70" s="2077" t="s">
        <v>3541</v>
      </c>
      <c r="F70" s="2593"/>
      <c r="G70" s="3049"/>
      <c r="H70" s="2601" t="s">
        <v>3542</v>
      </c>
      <c r="I70" s="2601"/>
      <c r="J70" s="2601" t="s">
        <v>3543</v>
      </c>
      <c r="K70" s="2424"/>
      <c r="L70" s="2593"/>
      <c r="M70" s="2601"/>
      <c r="N70" s="2601"/>
      <c r="O70" s="2593"/>
      <c r="P70" s="2601"/>
      <c r="Q70" s="2596"/>
      <c r="T70" s="2417"/>
    </row>
    <row r="71" spans="1:27" s="2687" customFormat="1">
      <c r="B71" s="2594"/>
      <c r="C71" s="2601"/>
      <c r="D71" s="2593"/>
      <c r="E71" s="2077"/>
      <c r="F71" s="2593"/>
      <c r="G71" s="2601"/>
      <c r="H71" s="2601"/>
      <c r="I71" s="2601"/>
      <c r="J71" s="2601"/>
      <c r="K71" s="2424"/>
      <c r="L71" s="2593"/>
      <c r="M71" s="2601"/>
      <c r="N71" s="2601"/>
      <c r="O71" s="2593"/>
      <c r="P71" s="2601"/>
      <c r="Q71" s="2596"/>
    </row>
    <row r="72" spans="1:27" s="2417" customFormat="1">
      <c r="B72" s="2071"/>
      <c r="C72" s="2072"/>
      <c r="D72" s="2077" t="s">
        <v>3537</v>
      </c>
      <c r="E72" s="2077"/>
      <c r="F72" s="2067"/>
      <c r="G72" s="2067"/>
      <c r="H72" s="2067"/>
      <c r="I72" s="2072"/>
      <c r="J72" s="2067"/>
      <c r="K72" s="2067"/>
      <c r="L72" s="2067"/>
      <c r="M72" s="2067"/>
      <c r="N72" s="2072"/>
      <c r="O72" s="2067"/>
      <c r="P72" s="2072"/>
      <c r="Q72" s="2596"/>
      <c r="S72" s="2687"/>
      <c r="T72" s="2687"/>
      <c r="U72" s="2687"/>
      <c r="V72" s="2687"/>
      <c r="W72" s="2687"/>
      <c r="X72" s="2687"/>
      <c r="Y72" s="2687"/>
      <c r="Z72" s="2687"/>
      <c r="AA72" s="2687"/>
    </row>
    <row r="73" spans="1:27" s="2687" customFormat="1" ht="13.5" thickBot="1">
      <c r="B73" s="2594"/>
      <c r="C73" s="2601"/>
      <c r="D73" s="2077"/>
      <c r="E73" s="2601"/>
      <c r="F73" s="2077"/>
      <c r="G73" s="2475" t="s">
        <v>3531</v>
      </c>
      <c r="H73" s="2475" t="s">
        <v>3199</v>
      </c>
      <c r="I73" s="2601"/>
      <c r="J73" s="2593"/>
      <c r="K73" s="2593"/>
      <c r="L73" s="2593"/>
      <c r="M73" s="2593"/>
      <c r="N73" s="2601"/>
      <c r="O73" s="2593"/>
      <c r="P73" s="2601"/>
      <c r="Q73" s="2596"/>
    </row>
    <row r="74" spans="1:27" s="2417" customFormat="1" ht="13.5" thickBot="1">
      <c r="B74" s="2071"/>
      <c r="C74" s="2072"/>
      <c r="D74" s="2067"/>
      <c r="E74" s="2601"/>
      <c r="F74" s="2076" t="s">
        <v>3538</v>
      </c>
      <c r="G74" s="2478">
        <f>G47</f>
        <v>0</v>
      </c>
      <c r="H74" s="2288" t="e">
        <f>G74/G$77</f>
        <v>#DIV/0!</v>
      </c>
      <c r="I74" s="2072"/>
      <c r="J74" s="2774" t="e">
        <f>J41</f>
        <v>#DIV/0!</v>
      </c>
      <c r="K74" s="2067"/>
      <c r="L74" s="2067"/>
      <c r="M74" s="2067"/>
      <c r="N74" s="2072"/>
      <c r="O74" s="2067"/>
      <c r="P74" s="2072"/>
      <c r="Q74" s="2596"/>
      <c r="S74" s="2687"/>
      <c r="T74" s="2687"/>
      <c r="U74" s="2687"/>
      <c r="V74" s="2687"/>
      <c r="W74" s="2687"/>
      <c r="X74" s="2687"/>
      <c r="Y74" s="2687"/>
      <c r="Z74" s="2687"/>
      <c r="AA74" s="2687"/>
    </row>
    <row r="75" spans="1:27" s="2687" customFormat="1" ht="13.5" thickBot="1">
      <c r="B75" s="2594"/>
      <c r="C75" s="2601"/>
      <c r="D75" s="2593"/>
      <c r="E75" s="2601"/>
      <c r="F75" s="2076" t="s">
        <v>3539</v>
      </c>
      <c r="G75" s="2478">
        <f>G56</f>
        <v>0</v>
      </c>
      <c r="H75" s="2288" t="e">
        <f t="shared" ref="H75:H76" si="1">G75/G$77</f>
        <v>#DIV/0!</v>
      </c>
      <c r="I75" s="2601"/>
      <c r="J75" s="2774" t="e">
        <f>J50</f>
        <v>#DIV/0!</v>
      </c>
      <c r="K75" s="2593"/>
      <c r="L75" s="2593"/>
      <c r="M75" s="2593"/>
      <c r="N75" s="2601"/>
      <c r="O75" s="2593"/>
      <c r="P75" s="2601"/>
      <c r="Q75" s="2596"/>
      <c r="S75" s="2417"/>
      <c r="T75" s="2417"/>
    </row>
    <row r="76" spans="1:27" s="2417" customFormat="1" ht="13.5" thickBot="1">
      <c r="B76" s="2071"/>
      <c r="C76" s="2072"/>
      <c r="D76" s="2067"/>
      <c r="E76" s="2601"/>
      <c r="F76" s="2076" t="s">
        <v>3540</v>
      </c>
      <c r="G76" s="2478">
        <f>G70</f>
        <v>0</v>
      </c>
      <c r="H76" s="2288" t="e">
        <f t="shared" si="1"/>
        <v>#DIV/0!</v>
      </c>
      <c r="I76" s="2072"/>
      <c r="J76" s="2775" t="str">
        <f>F62</f>
        <v>算定プログラムによる評価</v>
      </c>
      <c r="K76" s="2067"/>
      <c r="L76" s="2067"/>
      <c r="M76" s="2067"/>
      <c r="N76" s="2072"/>
      <c r="O76" s="2067"/>
      <c r="P76" s="2072"/>
      <c r="Q76" s="2596"/>
      <c r="S76" s="2687"/>
      <c r="T76" s="2687"/>
      <c r="U76" s="2687"/>
      <c r="V76" s="2687"/>
      <c r="W76" s="2687"/>
      <c r="X76" s="2687"/>
      <c r="Y76" s="2687"/>
      <c r="Z76" s="2687"/>
      <c r="AA76" s="2687"/>
    </row>
    <row r="77" spans="1:27" s="2417" customFormat="1" ht="13.5" thickBot="1">
      <c r="B77" s="2071"/>
      <c r="C77" s="2072"/>
      <c r="D77" s="2067"/>
      <c r="E77" s="2601"/>
      <c r="F77" s="2602" t="s">
        <v>3545</v>
      </c>
      <c r="G77" s="2478">
        <f>SUM(G74:G76)</f>
        <v>0</v>
      </c>
      <c r="H77" s="2478" t="e">
        <f>SUM(H74:H76)</f>
        <v>#DIV/0!</v>
      </c>
      <c r="I77" s="2072"/>
      <c r="J77" s="2774">
        <f>IF(G77=0,0,SUMPRODUCT(H74:H76,J74:J76))</f>
        <v>0</v>
      </c>
      <c r="K77" s="3048" t="str">
        <f>IF(G77&lt;&gt;G35,"建物全体の面積と評価対象面積の合計があっていません。","")</f>
        <v/>
      </c>
      <c r="L77" s="2067"/>
      <c r="M77" s="2072"/>
      <c r="N77" s="2072"/>
      <c r="O77" s="2067"/>
      <c r="P77" s="2072"/>
      <c r="Q77" s="2596"/>
      <c r="S77" s="2687"/>
      <c r="T77" s="2687"/>
      <c r="U77" s="2687"/>
      <c r="V77" s="2687"/>
      <c r="W77" s="2687"/>
      <c r="X77" s="2687"/>
      <c r="Y77" s="2687"/>
      <c r="Z77" s="2687"/>
      <c r="AA77" s="2687"/>
    </row>
    <row r="78" spans="1:27" s="2687" customFormat="1">
      <c r="B78" s="2594"/>
      <c r="C78" s="2202"/>
      <c r="D78" s="2593"/>
      <c r="E78" s="2601"/>
      <c r="F78" s="2601"/>
      <c r="G78" s="2601"/>
      <c r="H78" s="2593"/>
      <c r="I78" s="2601"/>
      <c r="J78" s="2601"/>
      <c r="K78" s="2601"/>
      <c r="L78" s="2472"/>
      <c r="M78" s="2601"/>
      <c r="N78" s="2601"/>
      <c r="O78" s="2601"/>
      <c r="P78" s="2601"/>
      <c r="Q78" s="2596"/>
      <c r="S78"/>
      <c r="T78"/>
    </row>
    <row r="79" spans="1:27" s="2687" customFormat="1">
      <c r="B79" s="2594"/>
      <c r="C79" s="2769" t="s">
        <v>3337</v>
      </c>
      <c r="D79" s="2593" t="s">
        <v>3526</v>
      </c>
      <c r="E79" s="2601"/>
      <c r="F79" s="2593"/>
      <c r="G79" s="2601"/>
      <c r="H79" s="2591"/>
      <c r="I79" s="2601"/>
      <c r="J79" s="2593"/>
      <c r="K79" s="2593"/>
      <c r="L79" s="2593"/>
      <c r="M79" s="2601"/>
      <c r="N79" s="2601"/>
      <c r="O79" s="2593"/>
      <c r="P79" s="2601"/>
      <c r="Q79" s="2596"/>
    </row>
    <row r="80" spans="1:27" s="2592" customFormat="1">
      <c r="B80" s="2594"/>
      <c r="C80" s="2202"/>
      <c r="D80" s="2769"/>
      <c r="E80" s="2593"/>
      <c r="F80" s="2593"/>
      <c r="G80" s="2595"/>
      <c r="H80" s="2591"/>
      <c r="I80" s="2595"/>
      <c r="J80" s="2600" t="s">
        <v>134</v>
      </c>
      <c r="K80" s="2599" t="s">
        <v>3153</v>
      </c>
      <c r="L80" s="2598"/>
      <c r="M80" s="2598"/>
      <c r="N80" s="2600" t="s">
        <v>480</v>
      </c>
      <c r="O80" s="2593"/>
      <c r="P80" s="2595"/>
      <c r="Q80" s="2596"/>
      <c r="U80" s="2687"/>
      <c r="V80" s="2687"/>
      <c r="W80" s="2687"/>
      <c r="X80" s="2687"/>
      <c r="Y80" s="2687"/>
      <c r="Z80" s="2687"/>
      <c r="AA80" s="2687"/>
    </row>
    <row r="81" spans="1:23" ht="37.5" customHeight="1">
      <c r="B81" s="2071"/>
      <c r="C81" s="2072"/>
      <c r="D81" s="2067"/>
      <c r="E81" s="2072"/>
      <c r="F81" s="2067"/>
      <c r="G81" s="2072"/>
      <c r="H81" s="2067"/>
      <c r="I81" s="2067"/>
      <c r="J81" s="2604"/>
      <c r="K81" s="2475" t="s">
        <v>3200</v>
      </c>
      <c r="L81" s="2734" t="s">
        <v>3552</v>
      </c>
      <c r="M81" s="3043" t="s">
        <v>3212</v>
      </c>
      <c r="N81" s="2604"/>
      <c r="O81" s="2546"/>
      <c r="P81" s="2072"/>
      <c r="Q81" s="2596"/>
    </row>
    <row r="82" spans="1:23" s="2687" customFormat="1" ht="14.25" customHeight="1">
      <c r="B82" s="2594"/>
      <c r="C82" s="2601"/>
      <c r="D82" s="45" t="s">
        <v>3210</v>
      </c>
      <c r="E82" s="45"/>
      <c r="F82" s="2072"/>
      <c r="G82" s="2072"/>
      <c r="H82" s="2072"/>
      <c r="I82" s="2072"/>
      <c r="J82" s="2214"/>
      <c r="K82" s="3044"/>
      <c r="L82" s="3044"/>
      <c r="M82" s="3044"/>
      <c r="N82" s="2079">
        <f>SUM(J82:M82)</f>
        <v>0</v>
      </c>
      <c r="O82" s="2424" t="s">
        <v>657</v>
      </c>
      <c r="P82" s="2601"/>
      <c r="Q82" s="2596"/>
    </row>
    <row r="83" spans="1:23" s="2687" customFormat="1" ht="14.25" customHeight="1">
      <c r="B83" s="2594"/>
      <c r="C83" s="2601"/>
      <c r="D83" s="45" t="s">
        <v>3211</v>
      </c>
      <c r="E83" s="45"/>
      <c r="F83" s="2072"/>
      <c r="G83" s="2072"/>
      <c r="H83" s="2072"/>
      <c r="I83" s="2072"/>
      <c r="J83" s="2214"/>
      <c r="K83" s="3044"/>
      <c r="L83" s="3044"/>
      <c r="M83" s="3044"/>
      <c r="N83" s="2079">
        <f>SUM(J83:M83)</f>
        <v>0</v>
      </c>
      <c r="O83" s="2072"/>
      <c r="P83" s="2601"/>
      <c r="Q83" s="2596"/>
    </row>
    <row r="84" spans="1:23">
      <c r="A84" s="2417"/>
      <c r="B84" s="2071"/>
      <c r="C84" s="2072"/>
      <c r="D84" s="45" t="s">
        <v>3205</v>
      </c>
      <c r="E84" s="2072"/>
      <c r="F84" s="2072"/>
      <c r="G84" s="2072"/>
      <c r="H84" s="2072"/>
      <c r="I84" s="2076" t="s">
        <v>3207</v>
      </c>
      <c r="J84" s="3044"/>
      <c r="K84" s="3044"/>
      <c r="L84" s="3044"/>
      <c r="M84" s="3043"/>
      <c r="N84" s="2079">
        <f>SUM(J84:L84)</f>
        <v>0</v>
      </c>
      <c r="O84" s="2424"/>
      <c r="P84" s="2072"/>
      <c r="Q84" s="2596"/>
      <c r="R84" s="2417"/>
      <c r="S84" s="2417"/>
      <c r="T84" s="2417"/>
      <c r="U84" s="2417"/>
      <c r="V84" s="2417"/>
      <c r="W84" s="2417"/>
    </row>
    <row r="85" spans="1:23" s="2417" customFormat="1">
      <c r="B85" s="2071"/>
      <c r="C85" s="2072"/>
      <c r="D85" s="45"/>
      <c r="E85" s="2072"/>
      <c r="F85" s="2072"/>
      <c r="G85" s="2072"/>
      <c r="H85" s="2072"/>
      <c r="I85" s="2076" t="s">
        <v>3206</v>
      </c>
      <c r="J85" s="3044"/>
      <c r="K85" s="3044"/>
      <c r="L85" s="3044"/>
      <c r="M85" s="3043"/>
      <c r="N85" s="2079">
        <f>SUM(J85:L85)</f>
        <v>0</v>
      </c>
      <c r="O85" s="2424"/>
      <c r="P85" s="2072"/>
      <c r="Q85" s="2596"/>
    </row>
    <row r="86" spans="1:23" s="2687" customFormat="1">
      <c r="B86" s="2594"/>
      <c r="C86" s="2601"/>
      <c r="D86" s="45"/>
      <c r="E86" s="2471" t="s">
        <v>3208</v>
      </c>
      <c r="F86" s="2601"/>
      <c r="G86" s="2601"/>
      <c r="H86" s="2601"/>
      <c r="I86" s="2601"/>
      <c r="J86" s="2601"/>
      <c r="K86" s="2601"/>
      <c r="L86" s="2601"/>
      <c r="M86" s="2601"/>
      <c r="N86" s="2601"/>
      <c r="O86" s="2601"/>
      <c r="P86" s="2601"/>
      <c r="Q86" s="2596"/>
    </row>
    <row r="87" spans="1:23" ht="39" customHeight="1">
      <c r="B87" s="2071"/>
      <c r="C87" s="2072"/>
      <c r="D87" s="2072"/>
      <c r="E87" s="2481" t="s">
        <v>3509</v>
      </c>
      <c r="F87" s="3438" t="s">
        <v>3510</v>
      </c>
      <c r="G87" s="3438"/>
      <c r="H87" s="3438"/>
      <c r="I87" s="3438"/>
      <c r="J87" s="3438"/>
      <c r="K87" s="3438"/>
      <c r="L87" s="3438"/>
      <c r="M87" s="3438"/>
      <c r="N87" s="3438"/>
      <c r="O87" s="3438"/>
      <c r="P87" s="3438"/>
      <c r="Q87" s="2201"/>
    </row>
    <row r="88" spans="1:23" s="2417" customFormat="1" ht="3.75" customHeight="1" thickBot="1">
      <c r="B88" s="2205"/>
      <c r="C88" s="2206"/>
      <c r="D88" s="2206"/>
      <c r="E88" s="2521"/>
      <c r="F88" s="2520"/>
      <c r="G88" s="2520"/>
      <c r="H88" s="2520"/>
      <c r="I88" s="2520"/>
      <c r="J88" s="2520"/>
      <c r="K88" s="2520"/>
      <c r="L88" s="2520"/>
      <c r="M88" s="2206"/>
      <c r="N88" s="2520"/>
      <c r="O88" s="2520"/>
      <c r="P88" s="2520"/>
      <c r="Q88" s="2207"/>
    </row>
    <row r="89" spans="1:23" ht="3.75" customHeight="1" thickBot="1">
      <c r="B89" s="2286"/>
      <c r="C89" s="2286"/>
      <c r="D89" s="2286"/>
      <c r="E89" s="2286"/>
      <c r="F89" s="2286"/>
      <c r="G89" s="2286"/>
      <c r="H89" s="2286"/>
      <c r="I89" s="2286"/>
      <c r="J89" s="2286"/>
      <c r="K89" s="2286"/>
      <c r="L89" s="2286"/>
      <c r="M89" s="2286"/>
      <c r="N89" s="2286"/>
      <c r="O89" s="2286"/>
      <c r="P89" s="2286"/>
      <c r="Q89" s="2286"/>
    </row>
    <row r="90" spans="1:23" ht="27" customHeight="1">
      <c r="B90" s="2208"/>
      <c r="C90" s="2209" t="s">
        <v>2181</v>
      </c>
      <c r="D90" s="2210"/>
      <c r="E90" s="2210"/>
      <c r="F90" s="2210"/>
      <c r="G90" s="2210"/>
      <c r="H90" s="2210"/>
      <c r="I90" s="2210"/>
      <c r="J90" s="2210"/>
      <c r="K90" s="2210"/>
      <c r="L90" s="2210"/>
      <c r="M90" s="2210"/>
      <c r="N90" s="2211"/>
      <c r="O90" s="2212"/>
      <c r="P90" s="2211"/>
      <c r="Q90" s="2213"/>
    </row>
    <row r="91" spans="1:23">
      <c r="B91" s="2075"/>
      <c r="C91" s="855" t="s">
        <v>3204</v>
      </c>
      <c r="D91" s="855"/>
      <c r="E91" s="2072"/>
      <c r="F91" s="2072"/>
      <c r="G91" s="2067"/>
      <c r="H91" s="2072"/>
      <c r="I91" s="2072"/>
      <c r="J91" s="2072"/>
      <c r="K91" s="2072"/>
      <c r="L91" s="2072"/>
      <c r="M91" s="2072"/>
      <c r="N91" s="2072" t="s">
        <v>2395</v>
      </c>
      <c r="O91" s="2072"/>
      <c r="P91" s="2313" t="s">
        <v>2396</v>
      </c>
      <c r="Q91" s="2194"/>
    </row>
    <row r="92" spans="1:23">
      <c r="B92" s="2075"/>
      <c r="C92" s="855"/>
      <c r="D92" s="2067" t="s">
        <v>134</v>
      </c>
      <c r="E92" s="2067"/>
      <c r="F92" s="2076" t="s">
        <v>3203</v>
      </c>
      <c r="G92" s="2078" t="str">
        <f>IF(H27="",S92,H27)</f>
        <v>BEI未入力</v>
      </c>
      <c r="H92" s="2072"/>
      <c r="I92" s="2072"/>
      <c r="J92" s="2077" t="s">
        <v>3158</v>
      </c>
      <c r="K92" s="2072"/>
      <c r="L92" s="2074" t="s">
        <v>135</v>
      </c>
      <c r="M92" s="2072"/>
      <c r="N92" s="2287" t="s">
        <v>657</v>
      </c>
      <c r="O92" s="860"/>
      <c r="P92" s="2287" t="s">
        <v>657</v>
      </c>
      <c r="Q92" s="854"/>
      <c r="S92" s="2687" t="s">
        <v>3201</v>
      </c>
    </row>
    <row r="93" spans="1:23">
      <c r="B93" s="2075"/>
      <c r="C93" s="855"/>
      <c r="D93" s="855"/>
      <c r="E93" s="855"/>
      <c r="F93" s="2076" t="s">
        <v>3156</v>
      </c>
      <c r="G93" s="2078">
        <f>J85</f>
        <v>0</v>
      </c>
      <c r="H93" s="2547" t="s">
        <v>657</v>
      </c>
      <c r="I93" s="2072"/>
      <c r="J93" s="2079">
        <f>(H117*N117+N118*H118)/1000</f>
        <v>0</v>
      </c>
      <c r="K93" s="2547" t="s">
        <v>657</v>
      </c>
      <c r="L93" s="2195" t="e">
        <f>N121</f>
        <v>#DIV/0!</v>
      </c>
      <c r="M93" s="2080"/>
      <c r="N93" s="2196" t="e">
        <f>(J113*G92+G93-J93)*L93</f>
        <v>#VALUE!</v>
      </c>
      <c r="O93" s="860"/>
      <c r="P93" s="2196">
        <f>J113</f>
        <v>0</v>
      </c>
      <c r="Q93" s="2199"/>
    </row>
    <row r="94" spans="1:23" ht="6.75" customHeight="1">
      <c r="B94" s="2071"/>
      <c r="C94" s="2072"/>
      <c r="D94" s="2072"/>
      <c r="E94" s="2072"/>
      <c r="F94" s="2072"/>
      <c r="G94" s="2072"/>
      <c r="H94" s="2072"/>
      <c r="I94" s="2072"/>
      <c r="J94" s="2072"/>
      <c r="K94" s="2072"/>
      <c r="L94" s="2072"/>
      <c r="M94" s="2072"/>
      <c r="N94" s="2072"/>
      <c r="O94" s="2072"/>
      <c r="P94" s="2072"/>
      <c r="Q94" s="2201"/>
    </row>
    <row r="95" spans="1:23">
      <c r="B95" s="2071"/>
      <c r="C95" s="2072"/>
      <c r="D95" s="2072"/>
      <c r="E95" s="2072"/>
      <c r="F95" s="2072"/>
      <c r="G95" s="2074"/>
      <c r="H95" s="2074" t="s">
        <v>662</v>
      </c>
      <c r="I95" s="2072"/>
      <c r="J95" s="2074" t="s">
        <v>3157</v>
      </c>
      <c r="K95" s="2074"/>
      <c r="L95" s="2074" t="s">
        <v>2514</v>
      </c>
      <c r="M95" s="2072"/>
      <c r="N95" s="2072"/>
      <c r="O95" s="2072"/>
      <c r="P95" s="2072"/>
      <c r="Q95" s="2201"/>
    </row>
    <row r="96" spans="1:23">
      <c r="B96" s="2071"/>
      <c r="C96" s="2072"/>
      <c r="D96" s="2072"/>
      <c r="E96" s="2072"/>
      <c r="F96" s="2072"/>
      <c r="G96" s="2076"/>
      <c r="H96" s="2076" t="s">
        <v>2410</v>
      </c>
      <c r="I96" s="2072"/>
      <c r="J96" s="2074" t="s">
        <v>659</v>
      </c>
      <c r="K96" s="2074"/>
      <c r="L96" s="2548" t="s">
        <v>1801</v>
      </c>
      <c r="M96" s="2072"/>
      <c r="N96" s="2072"/>
      <c r="O96" s="2072"/>
      <c r="P96" s="2072"/>
      <c r="Q96" s="2201"/>
      <c r="S96" t="s">
        <v>721</v>
      </c>
      <c r="T96" s="2227" t="e">
        <f>T113/P93</f>
        <v>#DIV/0!</v>
      </c>
    </row>
    <row r="97" spans="2:19">
      <c r="B97" s="2071"/>
      <c r="C97" s="2072"/>
      <c r="D97" s="2072"/>
      <c r="E97" s="2529" t="s">
        <v>1794</v>
      </c>
      <c r="F97" s="2530" t="s">
        <v>462</v>
      </c>
      <c r="G97" s="2531"/>
      <c r="H97" s="2081">
        <f>メイン!R47</f>
        <v>0</v>
      </c>
      <c r="I97" s="2072"/>
      <c r="J97" s="2081">
        <f>CO2データ!H190</f>
        <v>0</v>
      </c>
      <c r="K97" s="2072"/>
      <c r="L97" s="2532">
        <f>CO2データ!R190</f>
        <v>5.1922622950819675E-2</v>
      </c>
      <c r="M97" s="2072"/>
      <c r="N97" s="2072"/>
      <c r="O97" s="2072"/>
      <c r="P97" s="2072"/>
      <c r="Q97" s="2201"/>
      <c r="S97" s="2225">
        <f>CO2データ!N190</f>
        <v>0.9</v>
      </c>
    </row>
    <row r="98" spans="2:19">
      <c r="B98" s="2071"/>
      <c r="C98" s="2072"/>
      <c r="D98" s="2072"/>
      <c r="E98" s="2533"/>
      <c r="F98" s="2530" t="s">
        <v>2306</v>
      </c>
      <c r="G98" s="2531"/>
      <c r="H98" s="2081">
        <f>メイン!R48</f>
        <v>0</v>
      </c>
      <c r="I98" s="2072"/>
      <c r="J98" s="2081">
        <f>CO2データ!H191</f>
        <v>0</v>
      </c>
      <c r="K98" s="2072"/>
      <c r="L98" s="2532">
        <f>CO2データ!R191</f>
        <v>5.2892278688524592E-2</v>
      </c>
      <c r="M98" s="2072"/>
      <c r="N98" s="2072"/>
      <c r="O98" s="2072"/>
      <c r="P98" s="2072"/>
      <c r="Q98" s="2201"/>
      <c r="S98" s="2225">
        <f>CO2データ!N191</f>
        <v>0.82</v>
      </c>
    </row>
    <row r="99" spans="2:19">
      <c r="B99" s="2071"/>
      <c r="C99" s="2072"/>
      <c r="D99" s="2072"/>
      <c r="E99" s="2534" t="s">
        <v>2310</v>
      </c>
      <c r="F99" s="2530" t="s">
        <v>2311</v>
      </c>
      <c r="G99" s="2531"/>
      <c r="H99" s="2081">
        <f>メイン!R49</f>
        <v>0</v>
      </c>
      <c r="I99" s="2072"/>
      <c r="J99" s="2081">
        <f>CO2データ!H192</f>
        <v>0</v>
      </c>
      <c r="K99" s="2072"/>
      <c r="L99" s="2532">
        <f>CO2データ!R192</f>
        <v>5.3745426229508203E-2</v>
      </c>
      <c r="M99" s="2072"/>
      <c r="N99" s="2072"/>
      <c r="O99" s="2072"/>
      <c r="P99" s="2072"/>
      <c r="Q99" s="2201"/>
      <c r="S99" s="2225">
        <f>CO2データ!N192</f>
        <v>0.68</v>
      </c>
    </row>
    <row r="100" spans="2:19">
      <c r="B100" s="2071"/>
      <c r="C100" s="2072"/>
      <c r="D100" s="2072"/>
      <c r="E100" s="2534"/>
      <c r="F100" s="2535" t="s">
        <v>2312</v>
      </c>
      <c r="G100" s="2536" t="s">
        <v>2313</v>
      </c>
      <c r="H100" s="2081">
        <f>メイン!R50</f>
        <v>0</v>
      </c>
      <c r="I100" s="2072"/>
      <c r="J100" s="2081">
        <f>CO2データ!H193</f>
        <v>0</v>
      </c>
      <c r="K100" s="2072"/>
      <c r="L100" s="2532">
        <f>CO2データ!R193</f>
        <v>6.0068419955868521E-2</v>
      </c>
      <c r="M100" s="2072"/>
      <c r="N100" s="2072"/>
      <c r="O100" s="2072"/>
      <c r="P100" s="2072"/>
      <c r="Q100" s="2201"/>
      <c r="S100" s="2225">
        <f>CO2データ!N193</f>
        <v>0.40660921848225862</v>
      </c>
    </row>
    <row r="101" spans="2:19">
      <c r="B101" s="2071"/>
      <c r="C101" s="2072"/>
      <c r="D101" s="2072"/>
      <c r="E101" s="2534"/>
      <c r="F101" s="2537"/>
      <c r="G101" s="2536" t="s">
        <v>2704</v>
      </c>
      <c r="H101" s="2081">
        <f>メイン!R51</f>
        <v>0</v>
      </c>
      <c r="I101" s="2072"/>
      <c r="J101" s="2081">
        <f>CO2データ!H194</f>
        <v>0</v>
      </c>
      <c r="K101" s="2072"/>
      <c r="L101" s="2532">
        <f>CO2データ!R194</f>
        <v>5.2464752675727297E-2</v>
      </c>
      <c r="M101" s="2072"/>
      <c r="N101" s="2072"/>
      <c r="O101" s="2072"/>
      <c r="P101" s="2072"/>
      <c r="Q101" s="2201"/>
      <c r="S101" s="2225">
        <f>CO2データ!N194</f>
        <v>0.70611799443264323</v>
      </c>
    </row>
    <row r="102" spans="2:19">
      <c r="B102" s="2071"/>
      <c r="C102" s="2072"/>
      <c r="D102" s="2072"/>
      <c r="E102" s="2534"/>
      <c r="F102" s="2530" t="s">
        <v>2314</v>
      </c>
      <c r="G102" s="2531"/>
      <c r="H102" s="2081">
        <f>メイン!R52</f>
        <v>0</v>
      </c>
      <c r="I102" s="2072"/>
      <c r="J102" s="2081">
        <f>CO2データ!H195</f>
        <v>0</v>
      </c>
      <c r="K102" s="2072"/>
      <c r="L102" s="2532">
        <f>CO2データ!R195</f>
        <v>5.4967516393442627E-2</v>
      </c>
      <c r="M102" s="2072"/>
      <c r="N102" s="2072"/>
      <c r="O102" s="2072"/>
      <c r="P102" s="2072"/>
      <c r="Q102" s="2201"/>
      <c r="S102" s="2225">
        <f>CO2データ!N195</f>
        <v>0.73</v>
      </c>
    </row>
    <row r="103" spans="2:19">
      <c r="B103" s="2071"/>
      <c r="C103" s="2072"/>
      <c r="D103" s="2072"/>
      <c r="E103" s="2533"/>
      <c r="F103" s="2530" t="s">
        <v>2315</v>
      </c>
      <c r="G103" s="2531"/>
      <c r="H103" s="2081">
        <f>メイン!R53</f>
        <v>0</v>
      </c>
      <c r="I103" s="2072"/>
      <c r="J103" s="2081">
        <f>CO2データ!H196</f>
        <v>0</v>
      </c>
      <c r="K103" s="2072"/>
      <c r="L103" s="2532">
        <f>CO2データ!R196</f>
        <v>5.3131352459016394E-2</v>
      </c>
      <c r="M103" s="2072"/>
      <c r="N103" s="2072"/>
      <c r="O103" s="2072"/>
      <c r="P103" s="2072"/>
      <c r="Q103" s="2201"/>
      <c r="S103" s="2225">
        <f>CO2データ!N196</f>
        <v>0.75</v>
      </c>
    </row>
    <row r="104" spans="2:19">
      <c r="B104" s="2071"/>
      <c r="C104" s="2072"/>
      <c r="D104" s="2072"/>
      <c r="E104" s="2529" t="s">
        <v>2307</v>
      </c>
      <c r="F104" s="2530" t="s">
        <v>1971</v>
      </c>
      <c r="G104" s="2531"/>
      <c r="H104" s="2081">
        <f>メイン!R54</f>
        <v>0</v>
      </c>
      <c r="I104" s="2072"/>
      <c r="J104" s="2081">
        <f>CO2データ!H197</f>
        <v>0</v>
      </c>
      <c r="K104" s="2072"/>
      <c r="L104" s="2532">
        <f>CO2データ!R197</f>
        <v>5.2336459016393444E-2</v>
      </c>
      <c r="M104" s="2072"/>
      <c r="N104" s="2072"/>
      <c r="O104" s="2072"/>
      <c r="P104" s="2072"/>
      <c r="Q104" s="2201"/>
      <c r="S104" s="2225">
        <f>CO2データ!N197</f>
        <v>0.92</v>
      </c>
    </row>
    <row r="105" spans="2:19">
      <c r="B105" s="2071"/>
      <c r="C105" s="2072"/>
      <c r="D105" s="2072"/>
      <c r="E105" s="2533"/>
      <c r="F105" s="2530" t="s">
        <v>2308</v>
      </c>
      <c r="G105" s="2531"/>
      <c r="H105" s="2081">
        <f>メイン!R55</f>
        <v>0</v>
      </c>
      <c r="I105" s="2072"/>
      <c r="J105" s="2081">
        <f>CO2データ!H198</f>
        <v>0</v>
      </c>
      <c r="K105" s="2072"/>
      <c r="L105" s="2532">
        <f>CO2データ!R198</f>
        <v>5.2168377049180328E-2</v>
      </c>
      <c r="M105" s="2072"/>
      <c r="N105" s="2072"/>
      <c r="O105" s="2072"/>
      <c r="P105" s="2072"/>
      <c r="Q105" s="2201"/>
      <c r="S105" s="2225">
        <f>CO2データ!N198</f>
        <v>0.93</v>
      </c>
    </row>
    <row r="106" spans="2:19">
      <c r="B106" s="2071"/>
      <c r="C106" s="2072"/>
      <c r="D106" s="2072"/>
      <c r="E106" s="2530" t="s">
        <v>468</v>
      </c>
      <c r="F106" s="2538"/>
      <c r="G106" s="2531"/>
      <c r="H106" s="2081">
        <f>メイン!R56</f>
        <v>0</v>
      </c>
      <c r="I106" s="2072"/>
      <c r="J106" s="2081">
        <f>CO2データ!H199</f>
        <v>0</v>
      </c>
      <c r="K106" s="2072"/>
      <c r="L106" s="2532">
        <f>CO2データ!R199</f>
        <v>5.3188983606557383E-2</v>
      </c>
      <c r="M106" s="2072"/>
      <c r="N106" s="2072"/>
      <c r="O106" s="2072"/>
      <c r="P106" s="2072"/>
      <c r="Q106" s="2201"/>
      <c r="S106" s="2225">
        <f>CO2データ!N199</f>
        <v>0.49</v>
      </c>
    </row>
    <row r="107" spans="2:19">
      <c r="B107" s="2071"/>
      <c r="C107" s="2072"/>
      <c r="D107" s="2072"/>
      <c r="E107" s="2529" t="s">
        <v>2316</v>
      </c>
      <c r="F107" s="2530" t="s">
        <v>2317</v>
      </c>
      <c r="G107" s="2531"/>
      <c r="H107" s="2081">
        <f>メイン!R57</f>
        <v>0</v>
      </c>
      <c r="I107" s="2072"/>
      <c r="J107" s="2081">
        <f>CO2データ!H200</f>
        <v>0</v>
      </c>
      <c r="K107" s="2072"/>
      <c r="L107" s="2532">
        <f>CO2データ!R200</f>
        <v>5.2588270491803278E-2</v>
      </c>
      <c r="M107" s="2072"/>
      <c r="N107" s="2072"/>
      <c r="O107" s="2072"/>
      <c r="P107" s="2072"/>
      <c r="Q107" s="2201"/>
      <c r="S107" s="2225">
        <f>CO2データ!N200</f>
        <v>0.76</v>
      </c>
    </row>
    <row r="108" spans="2:19">
      <c r="B108" s="2071"/>
      <c r="C108" s="2072"/>
      <c r="D108" s="2072"/>
      <c r="E108" s="2534"/>
      <c r="F108" s="2530" t="s">
        <v>2318</v>
      </c>
      <c r="G108" s="2531"/>
      <c r="H108" s="2081">
        <f>メイン!R58</f>
        <v>0</v>
      </c>
      <c r="I108" s="2072"/>
      <c r="J108" s="2081">
        <f>CO2データ!H201</f>
        <v>0</v>
      </c>
      <c r="K108" s="2072"/>
      <c r="L108" s="2532">
        <f>CO2データ!R201</f>
        <v>5.3247860655737708E-2</v>
      </c>
      <c r="M108" s="2072"/>
      <c r="N108" s="2072"/>
      <c r="O108" s="2072"/>
      <c r="P108" s="2072"/>
      <c r="Q108" s="2201"/>
      <c r="S108" s="2225">
        <f>CO2データ!N201</f>
        <v>0.81</v>
      </c>
    </row>
    <row r="109" spans="2:19">
      <c r="B109" s="2071"/>
      <c r="C109" s="2072"/>
      <c r="D109" s="2072"/>
      <c r="E109" s="2534"/>
      <c r="F109" s="2535" t="s">
        <v>2319</v>
      </c>
      <c r="G109" s="2539"/>
      <c r="H109" s="2081">
        <f>メイン!R59</f>
        <v>0</v>
      </c>
      <c r="I109" s="2072"/>
      <c r="J109" s="2081">
        <f>CO2データ!H202</f>
        <v>0</v>
      </c>
      <c r="K109" s="2072"/>
      <c r="L109" s="2532">
        <f>CO2データ!R202</f>
        <v>5.3234499999999997E-2</v>
      </c>
      <c r="M109" s="2072"/>
      <c r="N109" s="2072"/>
      <c r="O109" s="2072"/>
      <c r="P109" s="2072"/>
      <c r="Q109" s="2201"/>
      <c r="S109" s="2225">
        <f>CO2データ!N202</f>
        <v>0.61</v>
      </c>
    </row>
    <row r="110" spans="2:19">
      <c r="B110" s="2071"/>
      <c r="C110" s="2072"/>
      <c r="D110" s="2072"/>
      <c r="E110" s="2530" t="s">
        <v>478</v>
      </c>
      <c r="F110" s="2538"/>
      <c r="G110" s="2531"/>
      <c r="H110" s="2081">
        <f>メイン!E60</f>
        <v>0</v>
      </c>
      <c r="I110" s="2072"/>
      <c r="J110" s="2081">
        <f>CO2データ!H203</f>
        <v>0</v>
      </c>
      <c r="K110" s="2072"/>
      <c r="L110" s="2532">
        <f>CO2データ!R203</f>
        <v>5.1741803278688527E-2</v>
      </c>
      <c r="M110" s="2072"/>
      <c r="N110" s="2072"/>
      <c r="O110" s="2072"/>
      <c r="P110" s="2072"/>
      <c r="Q110" s="2201"/>
      <c r="S110" s="2225">
        <f>CO2データ!N203</f>
        <v>1</v>
      </c>
    </row>
    <row r="111" spans="2:19">
      <c r="B111" s="2071"/>
      <c r="C111" s="2072"/>
      <c r="D111" s="2072"/>
      <c r="E111" s="2530" t="s">
        <v>472</v>
      </c>
      <c r="F111" s="2538"/>
      <c r="G111" s="2531"/>
      <c r="H111" s="2081">
        <f>メイン!R61</f>
        <v>0</v>
      </c>
      <c r="I111" s="2072"/>
      <c r="J111" s="2081">
        <f>CO2データ!H204</f>
        <v>0</v>
      </c>
      <c r="K111" s="2072"/>
      <c r="L111" s="2532">
        <f>CO2データ!R204</f>
        <v>5.557490983606557E-2</v>
      </c>
      <c r="M111" s="2072"/>
      <c r="N111" s="2072"/>
      <c r="O111" s="2072"/>
      <c r="P111" s="2072"/>
      <c r="Q111" s="2201"/>
      <c r="S111" s="2225">
        <f>CO2データ!N204</f>
        <v>0.56000000000000005</v>
      </c>
    </row>
    <row r="112" spans="2:19" ht="13.5" thickBot="1">
      <c r="B112" s="2071"/>
      <c r="C112" s="2072"/>
      <c r="D112" s="2072"/>
      <c r="E112" s="2530" t="s">
        <v>2309</v>
      </c>
      <c r="F112" s="2538"/>
      <c r="G112" s="2531"/>
      <c r="H112" s="2081">
        <f>メイン!R62</f>
        <v>0</v>
      </c>
      <c r="I112" s="2072"/>
      <c r="J112" s="2081">
        <f>CO2データ!H205</f>
        <v>0</v>
      </c>
      <c r="K112" s="2072"/>
      <c r="L112" s="2540">
        <f>CO2データ!R205</f>
        <v>5.5387409836065576E-2</v>
      </c>
      <c r="M112" s="2072"/>
      <c r="N112" s="2072"/>
      <c r="O112" s="2072"/>
      <c r="P112" s="2072"/>
      <c r="Q112" s="2201"/>
      <c r="S112" s="2225">
        <f>CO2データ!N205</f>
        <v>0.56000000000000005</v>
      </c>
    </row>
    <row r="113" spans="2:20" ht="13.5" thickBot="1">
      <c r="B113" s="2071"/>
      <c r="C113" s="2072"/>
      <c r="D113" s="2072"/>
      <c r="E113" s="2530" t="s">
        <v>134</v>
      </c>
      <c r="F113" s="2538" t="s">
        <v>480</v>
      </c>
      <c r="G113" s="2531"/>
      <c r="H113" s="2081">
        <f>SUM(H97:H112)</f>
        <v>0</v>
      </c>
      <c r="I113" s="2072"/>
      <c r="J113" s="2081">
        <f>SUMPRODUCT(H97:H112,J97:J112)/1000</f>
        <v>0</v>
      </c>
      <c r="K113" s="2424" t="s">
        <v>657</v>
      </c>
      <c r="L113" s="2541" t="e">
        <f>SUMPRODUCT(H97:H112,L97:L112)/H113</f>
        <v>#DIV/0!</v>
      </c>
      <c r="M113" s="2072"/>
      <c r="N113" s="2072"/>
      <c r="O113" s="2072"/>
      <c r="P113" s="2072"/>
      <c r="Q113" s="2201"/>
      <c r="S113" t="s">
        <v>3159</v>
      </c>
      <c r="T113" s="2226">
        <f>SUMPRODUCT(H97:H112,J97:J112,S97:S112)/1000</f>
        <v>0</v>
      </c>
    </row>
    <row r="114" spans="2:20">
      <c r="B114" s="2071"/>
      <c r="C114" s="2072"/>
      <c r="D114" s="2072"/>
      <c r="E114" s="2072"/>
      <c r="F114" s="2072"/>
      <c r="G114" s="2072"/>
      <c r="H114" s="2072"/>
      <c r="I114" s="2072"/>
      <c r="J114" s="2072"/>
      <c r="K114" s="2072"/>
      <c r="L114" s="2072"/>
      <c r="M114" s="2072"/>
      <c r="N114" s="2072"/>
      <c r="O114" s="2072"/>
      <c r="P114" s="2072"/>
      <c r="Q114" s="2201"/>
    </row>
    <row r="115" spans="2:20">
      <c r="B115" s="2071"/>
      <c r="C115" s="2072"/>
      <c r="D115" s="2072"/>
      <c r="E115" s="862" t="s">
        <v>2180</v>
      </c>
      <c r="F115" s="2077"/>
      <c r="G115" s="2072"/>
      <c r="H115" s="2074" t="s">
        <v>662</v>
      </c>
      <c r="I115" s="2072"/>
      <c r="J115" s="2072"/>
      <c r="K115" s="2072"/>
      <c r="L115" s="2072"/>
      <c r="M115" s="2072"/>
      <c r="N115" s="2072"/>
      <c r="O115" s="2072"/>
      <c r="P115" s="2072"/>
      <c r="Q115" s="2201"/>
    </row>
    <row r="116" spans="2:20">
      <c r="B116" s="2082"/>
      <c r="C116" s="855"/>
      <c r="D116" s="855"/>
      <c r="E116" s="862"/>
      <c r="F116" s="862" t="s">
        <v>2937</v>
      </c>
      <c r="G116" s="2077"/>
      <c r="H116" s="2550" t="s">
        <v>2410</v>
      </c>
      <c r="I116" s="2076"/>
      <c r="J116" s="857" t="s">
        <v>1643</v>
      </c>
      <c r="K116" s="857" t="s">
        <v>1644</v>
      </c>
      <c r="L116" s="857" t="s">
        <v>1645</v>
      </c>
      <c r="M116" s="858" t="s">
        <v>330</v>
      </c>
      <c r="N116" s="858" t="s">
        <v>2094</v>
      </c>
      <c r="O116" s="2084"/>
      <c r="P116" s="2525"/>
      <c r="Q116" s="2085"/>
    </row>
    <row r="117" spans="2:20">
      <c r="B117" s="2082"/>
      <c r="C117" s="855"/>
      <c r="D117" s="855"/>
      <c r="E117" s="862"/>
      <c r="F117" s="862"/>
      <c r="G117" s="2076" t="s">
        <v>3558</v>
      </c>
      <c r="H117" s="2079">
        <f>H100+H101+H102+G16</f>
        <v>0</v>
      </c>
      <c r="I117" s="2076"/>
      <c r="J117" s="3025">
        <v>0</v>
      </c>
      <c r="K117" s="3025">
        <v>1</v>
      </c>
      <c r="L117" s="3025">
        <v>15</v>
      </c>
      <c r="M117" s="2086">
        <f>採点LR1!L28</f>
        <v>3</v>
      </c>
      <c r="N117" s="2220">
        <f>IF(M117&gt;=5,$L117,IF(M117&gt;=4,$K117,$J117))</f>
        <v>0</v>
      </c>
      <c r="O117" s="2072"/>
      <c r="P117" s="2525"/>
      <c r="Q117" s="2085"/>
    </row>
    <row r="118" spans="2:20">
      <c r="B118" s="2082"/>
      <c r="C118" s="855"/>
      <c r="D118" s="855"/>
      <c r="E118" s="862"/>
      <c r="F118" s="862"/>
      <c r="G118" s="2077" t="s">
        <v>2056</v>
      </c>
      <c r="H118" s="2542">
        <f>H113-H100-H101-H102</f>
        <v>0</v>
      </c>
      <c r="I118" s="2076"/>
      <c r="J118" s="3025">
        <v>0</v>
      </c>
      <c r="K118" s="3025">
        <v>1</v>
      </c>
      <c r="L118" s="3025">
        <f>採点LR1!I36</f>
        <v>0</v>
      </c>
      <c r="M118" s="2086">
        <f>採点LR1!G28</f>
        <v>3</v>
      </c>
      <c r="N118" s="2220">
        <f>IF(M118&gt;=5,$L118,IF(M118&gt;=4,$K118,$J118))</f>
        <v>0</v>
      </c>
      <c r="O118" s="2424" t="s">
        <v>2862</v>
      </c>
      <c r="P118" s="2525"/>
      <c r="Q118" s="2085"/>
    </row>
    <row r="119" spans="2:20">
      <c r="B119" s="2082"/>
      <c r="C119" s="855"/>
      <c r="D119" s="855"/>
      <c r="E119" s="2088"/>
      <c r="F119" s="2088"/>
      <c r="G119" s="2083"/>
      <c r="H119" s="2077"/>
      <c r="I119" s="2077"/>
      <c r="J119" s="2077"/>
      <c r="K119" s="2077"/>
      <c r="L119" s="2077"/>
      <c r="M119" s="2077"/>
      <c r="N119" s="2077"/>
      <c r="O119" s="2084"/>
      <c r="P119" s="2525"/>
      <c r="Q119" s="2085"/>
    </row>
    <row r="120" spans="2:20">
      <c r="B120" s="2075"/>
      <c r="C120" s="855"/>
      <c r="D120" s="855"/>
      <c r="E120" s="862" t="s">
        <v>375</v>
      </c>
      <c r="F120" s="2088"/>
      <c r="G120" s="2072"/>
      <c r="H120" s="2217"/>
      <c r="I120" s="2072"/>
      <c r="J120" s="857" t="s">
        <v>1643</v>
      </c>
      <c r="K120" s="857" t="s">
        <v>1644</v>
      </c>
      <c r="L120" s="857" t="s">
        <v>1645</v>
      </c>
      <c r="M120" s="858" t="s">
        <v>330</v>
      </c>
      <c r="N120" s="858" t="s">
        <v>660</v>
      </c>
      <c r="O120" s="860"/>
      <c r="P120" s="2525"/>
      <c r="Q120" s="2085"/>
    </row>
    <row r="121" spans="2:20">
      <c r="B121" s="2075"/>
      <c r="C121" s="855"/>
      <c r="D121" s="855"/>
      <c r="E121" s="862"/>
      <c r="F121" s="862" t="s">
        <v>661</v>
      </c>
      <c r="G121" s="2072"/>
      <c r="H121" s="2072"/>
      <c r="I121" s="2072"/>
      <c r="J121" s="2288">
        <v>1</v>
      </c>
      <c r="K121" s="3026">
        <v>0.97499999999999998</v>
      </c>
      <c r="L121" s="2288">
        <v>0.95</v>
      </c>
      <c r="M121" s="2086" t="e">
        <f>スコア!O139</f>
        <v>#DIV/0!</v>
      </c>
      <c r="N121" s="2087" t="e">
        <f>IF(M121&gt;=5,$L121,IF(M121&gt;=4,$K121,$J121))</f>
        <v>#DIV/0!</v>
      </c>
      <c r="O121" s="860"/>
      <c r="P121" s="2525"/>
      <c r="Q121" s="2085"/>
    </row>
    <row r="122" spans="2:20">
      <c r="B122" s="2075"/>
      <c r="C122" s="855"/>
      <c r="D122" s="2072"/>
      <c r="E122" s="2072"/>
      <c r="F122" s="2072"/>
      <c r="G122" s="2072"/>
      <c r="H122" s="2072"/>
      <c r="I122" s="2072"/>
      <c r="J122" s="2072"/>
      <c r="K122" s="2072"/>
      <c r="L122" s="2072"/>
      <c r="M122" s="2072"/>
      <c r="N122" s="852"/>
      <c r="O122" s="860"/>
      <c r="P122" s="852"/>
      <c r="Q122" s="854"/>
    </row>
    <row r="123" spans="2:20">
      <c r="B123" s="2075"/>
      <c r="C123" s="855"/>
      <c r="D123" s="2072"/>
      <c r="E123" s="2067"/>
      <c r="F123" s="2072"/>
      <c r="G123" s="2107"/>
      <c r="H123" s="2072"/>
      <c r="I123" s="2072"/>
      <c r="J123" s="2072"/>
      <c r="K123" s="2072"/>
      <c r="L123" s="2072"/>
      <c r="M123" s="2072"/>
      <c r="N123" s="2072" t="s">
        <v>2395</v>
      </c>
      <c r="O123" s="2072"/>
      <c r="P123" s="2313" t="s">
        <v>2396</v>
      </c>
      <c r="Q123" s="2194"/>
    </row>
    <row r="124" spans="2:20">
      <c r="B124" s="2075"/>
      <c r="C124" s="855"/>
      <c r="D124" s="2067" t="s">
        <v>3153</v>
      </c>
      <c r="E124" s="2067"/>
      <c r="F124" s="2077"/>
      <c r="G124" s="2107"/>
      <c r="H124" s="2072"/>
      <c r="I124" s="2072"/>
      <c r="J124" s="2072"/>
      <c r="K124" s="2072"/>
      <c r="L124" s="2072"/>
      <c r="M124" s="2072"/>
      <c r="N124" s="2287" t="s">
        <v>657</v>
      </c>
      <c r="O124" s="860"/>
      <c r="P124" s="2287" t="s">
        <v>657</v>
      </c>
      <c r="Q124" s="854"/>
    </row>
    <row r="125" spans="2:20">
      <c r="B125" s="2075"/>
      <c r="C125" s="855"/>
      <c r="D125" s="2072"/>
      <c r="E125" s="2077" t="s">
        <v>2340</v>
      </c>
      <c r="F125" s="2077"/>
      <c r="G125" s="2077"/>
      <c r="H125" s="2077"/>
      <c r="I125" s="2077"/>
      <c r="J125" s="2077"/>
      <c r="K125" s="2077" t="s">
        <v>2395</v>
      </c>
      <c r="L125" s="2077" t="s">
        <v>2396</v>
      </c>
      <c r="M125" s="2072"/>
      <c r="N125" s="2196" t="e">
        <f>K83+K85+H127*K127/1000</f>
        <v>#N/A</v>
      </c>
      <c r="O125" s="2072"/>
      <c r="P125" s="2196" t="e">
        <f>K82+H127*L127/1000</f>
        <v>#N/A</v>
      </c>
      <c r="Q125" s="2199"/>
      <c r="S125" s="2225"/>
    </row>
    <row r="126" spans="2:20">
      <c r="B126" s="2075"/>
      <c r="C126" s="855"/>
      <c r="D126" s="2072"/>
      <c r="E126" s="2077"/>
      <c r="F126" s="2076"/>
      <c r="G126" s="2076" t="s">
        <v>3546</v>
      </c>
      <c r="H126" s="2196">
        <f>メイン!E64-H127</f>
        <v>0</v>
      </c>
      <c r="I126" s="2549" t="s">
        <v>680</v>
      </c>
      <c r="J126" s="2077"/>
      <c r="K126" s="2543">
        <f>K83+K85</f>
        <v>0</v>
      </c>
      <c r="L126" s="2543">
        <f>K82</f>
        <v>0</v>
      </c>
      <c r="M126" s="2292" t="s">
        <v>657</v>
      </c>
      <c r="N126" s="2198"/>
      <c r="O126" s="2072"/>
      <c r="P126" s="2198"/>
      <c r="Q126" s="2199"/>
    </row>
    <row r="127" spans="2:20">
      <c r="B127" s="2075"/>
      <c r="C127" s="855"/>
      <c r="D127" s="2072"/>
      <c r="E127" s="2077"/>
      <c r="F127" s="2072"/>
      <c r="G127" s="2076" t="s">
        <v>3547</v>
      </c>
      <c r="H127" s="2196">
        <f>G70</f>
        <v>0</v>
      </c>
      <c r="I127" s="2549" t="s">
        <v>680</v>
      </c>
      <c r="J127" s="2077"/>
      <c r="K127" s="2543" t="e">
        <f>CO2データ!I235</f>
        <v>#N/A</v>
      </c>
      <c r="L127" s="2543" t="e">
        <f>CO2データ!I236</f>
        <v>#N/A</v>
      </c>
      <c r="M127" s="2551" t="s">
        <v>2862</v>
      </c>
      <c r="N127" s="2072"/>
      <c r="O127" s="860"/>
      <c r="P127" s="852"/>
      <c r="Q127" s="854"/>
    </row>
    <row r="128" spans="2:20">
      <c r="B128" s="2075"/>
      <c r="C128" s="855"/>
      <c r="D128" s="2072"/>
      <c r="E128" s="2077" t="s">
        <v>844</v>
      </c>
      <c r="F128" s="2072"/>
      <c r="G128" s="2077"/>
      <c r="H128" s="2072"/>
      <c r="I128" s="2072"/>
      <c r="J128" s="2077"/>
      <c r="K128" s="2073"/>
      <c r="L128" s="2074"/>
      <c r="M128" s="2072"/>
      <c r="N128" s="2196" t="str">
        <f>IF(L83=0,"-",L83+M83+L85)</f>
        <v>-</v>
      </c>
      <c r="O128" s="860"/>
      <c r="P128" s="2196">
        <f>L82+M82</f>
        <v>0</v>
      </c>
      <c r="Q128" s="2199"/>
      <c r="S128" s="2225"/>
    </row>
    <row r="129" spans="2:17" ht="13.5" thickBot="1">
      <c r="B129" s="2205"/>
      <c r="C129" s="2206"/>
      <c r="D129" s="2206"/>
      <c r="E129" s="2206"/>
      <c r="F129" s="2206"/>
      <c r="G129" s="2206"/>
      <c r="H129" s="2206"/>
      <c r="I129" s="2206"/>
      <c r="J129" s="2206"/>
      <c r="K129" s="2206"/>
      <c r="L129" s="2206"/>
      <c r="M129" s="2206"/>
      <c r="N129" s="2206"/>
      <c r="O129" s="2206"/>
      <c r="P129" s="2206"/>
      <c r="Q129" s="2207"/>
    </row>
    <row r="130" spans="2:17">
      <c r="H130" s="1383"/>
    </row>
    <row r="131" spans="2:17" hidden="1"/>
    <row r="132" spans="2:17" hidden="1"/>
    <row r="133" spans="2:17" hidden="1"/>
    <row r="134" spans="2:17" hidden="1"/>
    <row r="135" spans="2:17" hidden="1"/>
    <row r="136" spans="2:17" hidden="1"/>
    <row r="137" spans="2:17" hidden="1"/>
    <row r="138" spans="2:17" hidden="1"/>
    <row r="139" spans="2:17" hidden="1"/>
    <row r="140" spans="2:17" hidden="1"/>
    <row r="141" spans="2:17" hidden="1"/>
    <row r="142" spans="2:17" hidden="1"/>
    <row r="143" spans="2:17" hidden="1"/>
    <row r="144" spans="2:17"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sheetData>
  <sheetProtection algorithmName="SHA-512" hashValue="/dNJFklklj4IidSB5u+MRV2eXeHE1SGcOfU6Stv5NhMm/IJyVSngSHkuTXcJn9hzr92ku+I47OazZdSDDQrd0w==" saltValue="B3lBjpbX3wWVNhSv835S6Q==" spinCount="100000" sheet="1" objects="1" scenarios="1"/>
  <mergeCells count="7">
    <mergeCell ref="F87:P87"/>
    <mergeCell ref="F10:P10"/>
    <mergeCell ref="G12:P12"/>
    <mergeCell ref="F62:H62"/>
    <mergeCell ref="E60:O61"/>
    <mergeCell ref="E30:O30"/>
    <mergeCell ref="D39:O39"/>
  </mergeCells>
  <phoneticPr fontId="22"/>
  <conditionalFormatting sqref="H9">
    <cfRule type="expression" dxfId="78" priority="25">
      <formula>$G$16=0</formula>
    </cfRule>
  </conditionalFormatting>
  <conditionalFormatting sqref="H6">
    <cfRule type="expression" dxfId="77" priority="21">
      <formula>$G$15=0</formula>
    </cfRule>
  </conditionalFormatting>
  <conditionalFormatting sqref="H41 J69 J84 H50">
    <cfRule type="expression" dxfId="76" priority="345">
      <formula>$G$32+$G$33=0</formula>
    </cfRule>
  </conditionalFormatting>
  <conditionalFormatting sqref="F62:H62 F64 L64 K84:L84 K82:M83">
    <cfRule type="expression" dxfId="75" priority="347">
      <formula>$G$34=0</formula>
    </cfRule>
  </conditionalFormatting>
  <conditionalFormatting sqref="K85">
    <cfRule type="expression" dxfId="74" priority="354">
      <formula>$K$84=0</formula>
    </cfRule>
    <cfRule type="expression" dxfId="73" priority="355">
      <formula>$G$34=0</formula>
    </cfRule>
  </conditionalFormatting>
  <conditionalFormatting sqref="J85">
    <cfRule type="expression" dxfId="72" priority="356">
      <formula>$J$84=0</formula>
    </cfRule>
    <cfRule type="expression" dxfId="71" priority="357">
      <formula>$G$32+$G$33=0</formula>
    </cfRule>
  </conditionalFormatting>
  <conditionalFormatting sqref="L85">
    <cfRule type="expression" dxfId="70" priority="361">
      <formula>$L$84=0</formula>
    </cfRule>
    <cfRule type="expression" dxfId="69" priority="362">
      <formula>$G$34=0</formula>
    </cfRule>
  </conditionalFormatting>
  <conditionalFormatting sqref="J69">
    <cfRule type="expression" dxfId="68" priority="364">
      <formula>$F$62=$S$59</formula>
    </cfRule>
    <cfRule type="expression" dxfId="67" priority="365">
      <formula>$G$34=0</formula>
    </cfRule>
  </conditionalFormatting>
  <dataValidations count="4">
    <dataValidation type="list" allowBlank="1" showInputMessage="1" showErrorMessage="1" sqref="F64">
      <formula1>$S$64:$S$67</formula1>
    </dataValidation>
    <dataValidation type="list" allowBlank="1" showInputMessage="1" showErrorMessage="1" sqref="L64">
      <formula1>$T$64:$T$66</formula1>
    </dataValidation>
    <dataValidation type="list" allowBlank="1" showInputMessage="1" sqref="F62">
      <formula1>$S$59:$S$61</formula1>
    </dataValidation>
    <dataValidation type="list" allowBlank="1" showInputMessage="1" showErrorMessage="1" sqref="H9">
      <formula1>$T$6:$T$11</formula1>
    </dataValidation>
  </dataValidations>
  <pageMargins left="0.78740157480314965" right="0.78740157480314965" top="0.98425196850393704" bottom="0.98425196850393704" header="0.51181102362204722" footer="0.51181102362204722"/>
  <pageSetup paperSize="9" scale="75" fitToHeight="0" orientation="portrait" r:id="rId1"/>
  <headerFooter alignWithMargins="0">
    <oddHeader>&amp;L&amp;F&amp;R&amp;A</oddHeader>
    <oddFooter>&amp;C&amp;P/&amp;N</oddFooter>
  </headerFooter>
  <rowBreaks count="1" manualBreakCount="1">
    <brk id="89"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fitToPage="1"/>
  </sheetPr>
  <dimension ref="A1:V382"/>
  <sheetViews>
    <sheetView showGridLines="0" topLeftCell="A250" zoomScaleNormal="100" zoomScaleSheetLayoutView="100" workbookViewId="0">
      <selection activeCell="J260" sqref="J260"/>
    </sheetView>
  </sheetViews>
  <sheetFormatPr defaultColWidth="0" defaultRowHeight="13" zeroHeight="1"/>
  <cols>
    <col min="1" max="1" width="1.90625" customWidth="1"/>
    <col min="2" max="2" width="25.08984375" hidden="1" customWidth="1"/>
    <col min="3" max="3" width="11" hidden="1" customWidth="1"/>
    <col min="4" max="4" width="5.26953125" style="2014" customWidth="1"/>
    <col min="5" max="5" width="1.7265625" style="2014" customWidth="1"/>
    <col min="6" max="15" width="10.6328125" style="2014" customWidth="1"/>
    <col min="16" max="16" width="2.26953125" customWidth="1"/>
    <col min="17" max="17" width="13.90625" hidden="1" customWidth="1"/>
    <col min="18" max="18" width="13.90625" style="2687" hidden="1" customWidth="1"/>
    <col min="19" max="19" width="6.7265625" hidden="1" customWidth="1"/>
    <col min="20" max="20" width="10.26953125" hidden="1" customWidth="1"/>
    <col min="21" max="21" width="13" hidden="1" customWidth="1"/>
    <col min="22" max="22" width="11" hidden="1" customWidth="1"/>
    <col min="23" max="16384" width="9" hidden="1"/>
  </cols>
  <sheetData>
    <row r="1" spans="2:21" ht="15.5">
      <c r="D1" s="903"/>
      <c r="E1" s="1061"/>
      <c r="F1" s="904"/>
      <c r="G1" s="904"/>
      <c r="H1" s="904"/>
      <c r="I1" s="904"/>
      <c r="J1" s="904"/>
      <c r="K1" s="904"/>
      <c r="L1" s="1385" t="s">
        <v>2697</v>
      </c>
      <c r="M1" s="906" t="str">
        <f>メイン!C11</f>
        <v>○○ビル</v>
      </c>
      <c r="N1" s="907"/>
      <c r="O1" s="1386"/>
      <c r="R1" s="2687" t="s">
        <v>1335</v>
      </c>
    </row>
    <row r="2" spans="2:21" ht="5.25" customHeight="1" thickBot="1">
      <c r="D2" s="903"/>
      <c r="E2" s="1061"/>
      <c r="F2" s="1061"/>
      <c r="G2" s="1061"/>
      <c r="H2" s="1061"/>
      <c r="I2" s="1061"/>
      <c r="J2" s="1061"/>
      <c r="K2" s="1061"/>
      <c r="L2" s="1387"/>
      <c r="M2" s="1061"/>
      <c r="N2" s="1061"/>
      <c r="O2" s="1061"/>
    </row>
    <row r="3" spans="2:21" ht="18.5" thickBot="1">
      <c r="D3" s="1388" t="s">
        <v>560</v>
      </c>
      <c r="E3" s="909"/>
      <c r="F3" s="909"/>
      <c r="G3" s="909"/>
      <c r="H3" s="904"/>
      <c r="I3" s="911"/>
      <c r="J3" s="912" t="s">
        <v>2576</v>
      </c>
      <c r="K3" s="913"/>
      <c r="L3" s="1287"/>
      <c r="M3" s="909"/>
      <c r="N3" s="909"/>
      <c r="O3" s="1142" t="str">
        <f>IF(メイン!E39=0,"",メイン!E39)</f>
        <v/>
      </c>
      <c r="R3" s="2687" t="s">
        <v>1361</v>
      </c>
      <c r="S3" t="s">
        <v>2585</v>
      </c>
      <c r="T3" t="s">
        <v>3366</v>
      </c>
      <c r="U3" t="str">
        <f>メイン!I37</f>
        <v>基本設計段階</v>
      </c>
    </row>
    <row r="4" spans="2:21" ht="6" customHeight="1">
      <c r="D4" s="908"/>
      <c r="E4" s="909"/>
      <c r="F4" s="909"/>
      <c r="G4" s="909"/>
      <c r="H4" s="909"/>
      <c r="I4" s="909"/>
      <c r="J4" s="909"/>
      <c r="K4" s="909"/>
      <c r="L4" s="1389"/>
      <c r="M4" s="909"/>
      <c r="N4" s="909"/>
      <c r="O4" s="909"/>
      <c r="T4" t="s">
        <v>3376</v>
      </c>
      <c r="U4" t="str">
        <f>メイン!I38</f>
        <v>実施設計段階</v>
      </c>
    </row>
    <row r="5" spans="2:21" ht="13.5" customHeight="1">
      <c r="D5" s="1326">
        <v>1</v>
      </c>
      <c r="E5" s="915" t="s">
        <v>561</v>
      </c>
      <c r="F5" s="915"/>
      <c r="G5" s="915"/>
      <c r="H5" s="916"/>
      <c r="I5" s="916"/>
      <c r="J5" s="916"/>
      <c r="K5" s="916"/>
      <c r="L5" s="1390"/>
      <c r="M5" s="916"/>
      <c r="N5" s="916"/>
      <c r="O5" s="916"/>
      <c r="U5" t="str">
        <f>メイン!I39</f>
        <v>竣工段階</v>
      </c>
    </row>
    <row r="6" spans="2:21" ht="13.5" customHeight="1">
      <c r="D6" s="1326">
        <v>1.1000000000000001</v>
      </c>
      <c r="E6" s="915" t="s">
        <v>843</v>
      </c>
      <c r="F6" s="2017"/>
      <c r="G6" s="915"/>
      <c r="H6" s="916"/>
      <c r="I6" s="916"/>
      <c r="J6" s="999" t="e">
        <f>IF(OR(F8=0,J7=0),$R$3,"")</f>
        <v>#DIV/0!</v>
      </c>
      <c r="K6" s="916"/>
      <c r="L6" s="1390"/>
      <c r="M6" s="916"/>
      <c r="N6" s="916"/>
      <c r="O6" s="916"/>
      <c r="S6" t="s">
        <v>1151</v>
      </c>
    </row>
    <row r="7" spans="2:21" ht="13.5" customHeight="1" thickBot="1">
      <c r="D7" s="1391"/>
      <c r="E7" s="1391"/>
      <c r="F7" s="1065"/>
      <c r="G7" s="924"/>
      <c r="H7" s="925"/>
      <c r="I7" s="926" t="s">
        <v>1364</v>
      </c>
      <c r="J7" s="927" t="e">
        <f>重み!M147</f>
        <v>#DIV/0!</v>
      </c>
      <c r="K7" s="1066"/>
      <c r="L7" s="1068"/>
      <c r="N7" s="916"/>
      <c r="O7" s="916"/>
      <c r="S7" t="s">
        <v>1152</v>
      </c>
    </row>
    <row r="8" spans="2:21" ht="27" customHeight="1" thickBot="1">
      <c r="D8" s="908"/>
      <c r="E8" s="1042"/>
      <c r="F8" s="930">
        <v>3</v>
      </c>
      <c r="G8" s="1046" t="s">
        <v>562</v>
      </c>
      <c r="H8" s="935"/>
      <c r="I8" s="935"/>
      <c r="J8" s="935"/>
      <c r="K8" s="935"/>
      <c r="L8" s="1232"/>
      <c r="M8" s="916"/>
      <c r="N8" s="916"/>
      <c r="O8" s="916"/>
    </row>
    <row r="9" spans="2:21" ht="21" customHeight="1">
      <c r="B9" s="1">
        <v>1</v>
      </c>
      <c r="C9" s="1">
        <v>1</v>
      </c>
      <c r="D9" s="908"/>
      <c r="E9" s="1042"/>
      <c r="F9" s="937" t="str">
        <f>IF(F8=$S$16,$T$10,IF(ROUNDDOWN(F8,0)=$S$10,$U$10,$T$10))</f>
        <v>　レベル　1</v>
      </c>
      <c r="G9" s="939" t="s">
        <v>829</v>
      </c>
      <c r="H9" s="940"/>
      <c r="I9" s="940"/>
      <c r="J9" s="940"/>
      <c r="K9" s="940"/>
      <c r="L9" s="1392"/>
      <c r="M9" s="916"/>
      <c r="N9" s="916"/>
      <c r="O9" s="916"/>
    </row>
    <row r="10" spans="2:21" ht="21" customHeight="1">
      <c r="B10" s="1" t="s">
        <v>228</v>
      </c>
      <c r="C10" s="1">
        <v>2</v>
      </c>
      <c r="D10" s="908"/>
      <c r="E10" s="1042"/>
      <c r="F10" s="942" t="str">
        <f>IF(F8=$S$16,$T$11,IF(ROUNDDOWN(F8,0)=$S$11,$U$11,$T$11))</f>
        <v>　レベル　2</v>
      </c>
      <c r="G10" s="946" t="s">
        <v>2178</v>
      </c>
      <c r="H10" s="947"/>
      <c r="I10" s="947"/>
      <c r="J10" s="947"/>
      <c r="K10" s="947"/>
      <c r="L10" s="1393"/>
      <c r="M10" s="916"/>
      <c r="N10" s="916"/>
      <c r="O10" s="916"/>
      <c r="S10">
        <v>1</v>
      </c>
      <c r="T10" t="s">
        <v>1153</v>
      </c>
      <c r="U10" t="s">
        <v>1154</v>
      </c>
    </row>
    <row r="11" spans="2:21" ht="21" customHeight="1">
      <c r="B11" s="1">
        <v>3</v>
      </c>
      <c r="C11" s="1">
        <v>3</v>
      </c>
      <c r="D11" s="908"/>
      <c r="E11" s="1042"/>
      <c r="F11" s="942" t="str">
        <f>IF(F8=$S$16,$T$12,IF(ROUNDDOWN(F8,0)=$S$12,$U$12,$T$12))</f>
        <v>■レベル　3</v>
      </c>
      <c r="G11" s="946" t="s">
        <v>563</v>
      </c>
      <c r="H11" s="947"/>
      <c r="I11" s="947"/>
      <c r="J11" s="947"/>
      <c r="K11" s="947"/>
      <c r="L11" s="1394"/>
      <c r="M11" s="916"/>
      <c r="N11" s="916"/>
      <c r="O11" s="916"/>
      <c r="S11">
        <v>2</v>
      </c>
      <c r="T11" t="s">
        <v>1336</v>
      </c>
      <c r="U11" t="s">
        <v>1337</v>
      </c>
    </row>
    <row r="12" spans="2:21" ht="21" customHeight="1">
      <c r="B12" s="1">
        <v>4</v>
      </c>
      <c r="C12" s="1">
        <v>4</v>
      </c>
      <c r="D12" s="908"/>
      <c r="E12" s="1042"/>
      <c r="F12" s="942" t="str">
        <f>IF(F8=$S$16,$T$13,IF(ROUNDDOWN(F8,0)=$S$13,$U$13,$T$13))</f>
        <v>　レベル　4</v>
      </c>
      <c r="G12" s="946" t="s">
        <v>830</v>
      </c>
      <c r="H12" s="947"/>
      <c r="I12" s="947"/>
      <c r="J12" s="947"/>
      <c r="K12" s="947"/>
      <c r="L12" s="1394"/>
      <c r="M12" s="916"/>
      <c r="N12" s="916"/>
      <c r="O12" s="916"/>
      <c r="S12">
        <v>3</v>
      </c>
      <c r="T12" t="s">
        <v>1342</v>
      </c>
      <c r="U12" t="s">
        <v>1343</v>
      </c>
    </row>
    <row r="13" spans="2:21" ht="21" customHeight="1">
      <c r="B13" s="1" t="s">
        <v>228</v>
      </c>
      <c r="C13" s="1">
        <v>5</v>
      </c>
      <c r="D13" s="908"/>
      <c r="E13" s="1042"/>
      <c r="F13" s="953" t="str">
        <f>IF(F8=$S$16,$T$14,IF(ROUNDDOWN(F8,0)=$S$14,$U$14,$T$14))</f>
        <v>　レベル　5</v>
      </c>
      <c r="G13" s="957" t="s">
        <v>2178</v>
      </c>
      <c r="H13" s="958"/>
      <c r="I13" s="958"/>
      <c r="J13" s="958"/>
      <c r="K13" s="958"/>
      <c r="L13" s="1395"/>
      <c r="M13" s="916"/>
      <c r="N13" s="916"/>
      <c r="O13" s="916"/>
      <c r="S13">
        <v>4</v>
      </c>
      <c r="T13" t="s">
        <v>1221</v>
      </c>
      <c r="U13" t="s">
        <v>1222</v>
      </c>
    </row>
    <row r="14" spans="2:21" ht="14.25" customHeight="1">
      <c r="B14" s="960">
        <v>0</v>
      </c>
      <c r="C14" s="960">
        <v>0</v>
      </c>
      <c r="D14" s="908"/>
      <c r="E14" s="1042"/>
      <c r="F14" s="1042"/>
      <c r="G14" s="1396"/>
      <c r="H14" s="1397"/>
      <c r="I14" s="1397"/>
      <c r="J14" s="1397"/>
      <c r="K14" s="1397"/>
      <c r="L14" s="1390"/>
      <c r="M14" s="916"/>
      <c r="N14" s="916"/>
      <c r="O14" s="916"/>
      <c r="S14">
        <v>5</v>
      </c>
      <c r="T14" t="s">
        <v>1228</v>
      </c>
      <c r="U14" t="s">
        <v>1229</v>
      </c>
    </row>
    <row r="15" spans="2:21" ht="14.25" customHeight="1">
      <c r="D15" s="1326">
        <v>1.2</v>
      </c>
      <c r="E15" s="915" t="s">
        <v>564</v>
      </c>
      <c r="F15" s="915"/>
      <c r="G15" s="916"/>
      <c r="H15" s="1144"/>
      <c r="I15" s="916"/>
      <c r="J15" s="916"/>
      <c r="K15" s="916"/>
      <c r="L15" s="1398"/>
      <c r="M15" s="916"/>
      <c r="N15" s="916"/>
      <c r="O15" s="916"/>
    </row>
    <row r="16" spans="2:21" ht="14.25" customHeight="1">
      <c r="D16" s="1326"/>
      <c r="E16" s="915"/>
      <c r="F16" s="1064" t="s">
        <v>831</v>
      </c>
      <c r="G16" s="916"/>
      <c r="H16" s="1144"/>
      <c r="I16" s="916"/>
      <c r="J16" s="999" t="e">
        <f>IF(OR(F18=0,J17=0),$R$3,"")</f>
        <v>#DIV/0!</v>
      </c>
      <c r="K16" s="1064" t="s">
        <v>565</v>
      </c>
      <c r="L16" s="1398"/>
      <c r="M16" s="916"/>
      <c r="N16" s="916"/>
      <c r="O16" s="999" t="e">
        <f>IF(OR(K18=0,O17=0),$R$3,"")</f>
        <v>#DIV/0!</v>
      </c>
      <c r="S16">
        <v>0</v>
      </c>
      <c r="T16" t="s">
        <v>1155</v>
      </c>
      <c r="U16" t="s">
        <v>1155</v>
      </c>
    </row>
    <row r="17" spans="2:15" ht="14.25" customHeight="1" thickBot="1">
      <c r="B17" t="s">
        <v>1156</v>
      </c>
      <c r="C17" t="s">
        <v>1157</v>
      </c>
      <c r="D17" s="908"/>
      <c r="E17" s="1042"/>
      <c r="F17" s="923"/>
      <c r="G17" s="924"/>
      <c r="H17" s="925"/>
      <c r="I17" s="926" t="s">
        <v>1364</v>
      </c>
      <c r="J17" s="929" t="e">
        <f>重み!M149</f>
        <v>#DIV/0!</v>
      </c>
      <c r="K17" s="923"/>
      <c r="L17" s="924"/>
      <c r="M17" s="925"/>
      <c r="N17" s="926" t="s">
        <v>1364</v>
      </c>
      <c r="O17" s="929" t="e">
        <f>重み!M150</f>
        <v>#DIV/0!</v>
      </c>
    </row>
    <row r="18" spans="2:15" ht="27" customHeight="1" thickBot="1">
      <c r="B18" s="1210" t="s">
        <v>566</v>
      </c>
      <c r="C18" s="1210"/>
      <c r="D18" s="908"/>
      <c r="E18" s="1042"/>
      <c r="F18" s="930">
        <v>3</v>
      </c>
      <c r="G18" s="934" t="s">
        <v>502</v>
      </c>
      <c r="H18" s="935"/>
      <c r="I18" s="935"/>
      <c r="J18" s="1399"/>
      <c r="K18" s="930">
        <v>3</v>
      </c>
      <c r="L18" s="1046" t="s">
        <v>2496</v>
      </c>
      <c r="M18" s="935"/>
      <c r="N18" s="935"/>
      <c r="O18" s="936"/>
    </row>
    <row r="19" spans="2:15" ht="21" customHeight="1">
      <c r="B19" s="1" t="s">
        <v>228</v>
      </c>
      <c r="C19" s="1" t="s">
        <v>228</v>
      </c>
      <c r="D19" s="908"/>
      <c r="E19" s="1042"/>
      <c r="F19" s="937" t="str">
        <f>IF(F18=$S$16,$T$10,IF(ROUNDDOWN(F18,0)=$S$10,$U$10,$T$10))</f>
        <v>　レベル　1</v>
      </c>
      <c r="G19" s="940" t="s">
        <v>2178</v>
      </c>
      <c r="H19" s="940"/>
      <c r="I19" s="940"/>
      <c r="J19" s="941"/>
      <c r="K19" s="937" t="str">
        <f>IF(K18=$S$16,$T$10,IF(ROUNDDOWN(K18,0)=$S$10,$U$10,$T$10))</f>
        <v>　レベル　1</v>
      </c>
      <c r="L19" s="2250" t="s">
        <v>2178</v>
      </c>
      <c r="M19" s="940"/>
      <c r="N19" s="940"/>
      <c r="O19" s="941"/>
    </row>
    <row r="20" spans="2:15" ht="21" customHeight="1">
      <c r="B20" s="1" t="s">
        <v>228</v>
      </c>
      <c r="C20" s="1" t="s">
        <v>228</v>
      </c>
      <c r="D20" s="908"/>
      <c r="E20" s="1042"/>
      <c r="F20" s="942" t="str">
        <f>IF(F18=$S$16,$T$11,IF(ROUNDDOWN(F18,0)=$S$11,$U$11,$T$11))</f>
        <v>　レベル　2</v>
      </c>
      <c r="G20" s="946" t="s">
        <v>2178</v>
      </c>
      <c r="H20" s="947"/>
      <c r="I20" s="947"/>
      <c r="J20" s="948"/>
      <c r="K20" s="942" t="str">
        <f>IF(K18=$S$16,$T$11,IF(ROUNDDOWN(K18,0)=$S$11,$U$11,$T$11))</f>
        <v>　レベル　2</v>
      </c>
      <c r="L20" s="2251" t="s">
        <v>2178</v>
      </c>
      <c r="M20" s="947"/>
      <c r="N20" s="947"/>
      <c r="O20" s="948"/>
    </row>
    <row r="21" spans="2:15" ht="21" customHeight="1">
      <c r="B21" s="1">
        <v>3</v>
      </c>
      <c r="C21" s="1">
        <v>3</v>
      </c>
      <c r="D21" s="908"/>
      <c r="E21" s="1042"/>
      <c r="F21" s="942" t="str">
        <f>IF(F18=$S$16,$T$12,IF(ROUNDDOWN(F18,0)=$S$12,$U$12,$T$12))</f>
        <v>■レベル　3</v>
      </c>
      <c r="G21" s="946" t="s">
        <v>832</v>
      </c>
      <c r="H21" s="947"/>
      <c r="I21" s="947"/>
      <c r="J21" s="948"/>
      <c r="K21" s="942" t="str">
        <f>IF(K18=$S$16,$T$12,IF(ROUNDDOWN(K18,0)=$S$12,$U$12,$T$12))</f>
        <v>■レベル　3</v>
      </c>
      <c r="L21" s="946" t="s">
        <v>1773</v>
      </c>
      <c r="M21" s="947"/>
      <c r="N21" s="947"/>
      <c r="O21" s="948"/>
    </row>
    <row r="22" spans="2:15" ht="21" customHeight="1">
      <c r="B22" s="1">
        <v>4</v>
      </c>
      <c r="C22" s="1">
        <v>4</v>
      </c>
      <c r="D22" s="908"/>
      <c r="E22" s="1042"/>
      <c r="F22" s="942" t="str">
        <f>IF(F18=$S$16,$T$13,IF(ROUNDDOWN(F18,0)=$S$13,$U$13,$T$13))</f>
        <v>　レベル　4</v>
      </c>
      <c r="G22" s="946" t="s">
        <v>833</v>
      </c>
      <c r="H22" s="947"/>
      <c r="I22" s="947"/>
      <c r="J22" s="948"/>
      <c r="K22" s="942" t="str">
        <f>IF(K18=$S$16,$T$13,IF(ROUNDDOWN(K18,0)=$S$13,$U$13,$T$13))</f>
        <v>　レベル　4</v>
      </c>
      <c r="L22" s="946" t="s">
        <v>1774</v>
      </c>
      <c r="M22" s="947"/>
      <c r="N22" s="947"/>
      <c r="O22" s="948"/>
    </row>
    <row r="23" spans="2:15" ht="21" customHeight="1">
      <c r="B23" s="1">
        <v>5</v>
      </c>
      <c r="C23" s="1">
        <v>5</v>
      </c>
      <c r="D23" s="908"/>
      <c r="E23" s="1042"/>
      <c r="F23" s="953" t="str">
        <f>IF(F18=$S$16,$T$14,IF(ROUNDDOWN(F18,0)=$S$14,$U$14,$T$14))</f>
        <v>　レベル　5</v>
      </c>
      <c r="G23" s="957" t="s">
        <v>834</v>
      </c>
      <c r="H23" s="958"/>
      <c r="I23" s="958"/>
      <c r="J23" s="959"/>
      <c r="K23" s="953" t="str">
        <f>IF(K18=$S$16,$T$14,IF(ROUNDDOWN(K18,0)=$S$14,$U$14,$T$14))</f>
        <v>　レベル　5</v>
      </c>
      <c r="L23" s="957" t="s">
        <v>1775</v>
      </c>
      <c r="M23" s="958"/>
      <c r="N23" s="958"/>
      <c r="O23" s="959"/>
    </row>
    <row r="24" spans="2:15" ht="14.25" customHeight="1">
      <c r="B24" s="960">
        <v>0</v>
      </c>
      <c r="C24" s="960">
        <v>0</v>
      </c>
      <c r="D24" s="908"/>
      <c r="E24" s="1042"/>
      <c r="F24" s="1042"/>
      <c r="G24" s="1396" t="s">
        <v>2153</v>
      </c>
      <c r="H24" s="1400" t="s">
        <v>2154</v>
      </c>
      <c r="I24" s="1400"/>
      <c r="J24" s="1042"/>
      <c r="K24" s="1042"/>
      <c r="L24" s="1401"/>
      <c r="M24" s="1042"/>
      <c r="N24" s="1042"/>
      <c r="O24" s="1042"/>
    </row>
    <row r="25" spans="2:15" ht="27.75" customHeight="1">
      <c r="D25" s="908"/>
      <c r="E25" s="1042"/>
      <c r="F25" s="904"/>
      <c r="G25" s="1402"/>
      <c r="H25" s="1403" t="s">
        <v>2155</v>
      </c>
      <c r="I25" s="1402"/>
      <c r="J25" s="1397"/>
      <c r="K25" s="904"/>
      <c r="L25" s="1403"/>
      <c r="M25" s="1397"/>
      <c r="N25" s="1397"/>
      <c r="O25" s="1397"/>
    </row>
    <row r="26" spans="2:15" ht="14.25" customHeight="1">
      <c r="D26" s="1326">
        <v>2</v>
      </c>
      <c r="E26" s="915" t="s">
        <v>1282</v>
      </c>
      <c r="F26" s="916"/>
      <c r="G26" s="916"/>
      <c r="H26" s="916"/>
      <c r="I26" s="916"/>
      <c r="J26" s="916"/>
      <c r="K26" s="916"/>
      <c r="L26" s="1390"/>
      <c r="M26" s="916"/>
      <c r="N26" s="916"/>
      <c r="O26" s="916"/>
    </row>
    <row r="27" spans="2:15" ht="14.25" customHeight="1">
      <c r="D27" s="1404">
        <v>2.1</v>
      </c>
      <c r="E27" s="1143" t="s">
        <v>1283</v>
      </c>
      <c r="F27" s="916"/>
      <c r="G27" s="916"/>
      <c r="H27" s="916"/>
      <c r="I27" s="916"/>
      <c r="J27" s="999" t="e">
        <f>IF(OR(F29=0,J28=0),$R$3,"")</f>
        <v>#DIV/0!</v>
      </c>
      <c r="K27" s="916"/>
      <c r="L27" s="1390"/>
      <c r="M27" s="916"/>
      <c r="N27" s="916"/>
      <c r="O27" s="999"/>
    </row>
    <row r="28" spans="2:15" ht="14.25" customHeight="1" thickBot="1">
      <c r="C28" t="s">
        <v>1329</v>
      </c>
      <c r="D28" s="1391"/>
      <c r="E28" s="1391"/>
      <c r="F28" s="1065"/>
      <c r="G28" s="924"/>
      <c r="H28" s="925"/>
      <c r="I28" s="926" t="s">
        <v>1364</v>
      </c>
      <c r="J28" s="927" t="e">
        <f>重み!M152</f>
        <v>#DIV/0!</v>
      </c>
      <c r="K28" s="925"/>
      <c r="L28" s="1066"/>
      <c r="M28" s="1066"/>
      <c r="N28" s="1066"/>
      <c r="O28" s="1068"/>
    </row>
    <row r="29" spans="2:15" ht="27" customHeight="1" thickBot="1">
      <c r="C29" s="1210">
        <v>0</v>
      </c>
      <c r="D29" s="908"/>
      <c r="E29" s="918"/>
      <c r="F29" s="2056">
        <f>IF(C29=1,M29,IF(G37=$S$3,0,ROUND(IF(H46=0,2,IF(H46&gt;=5,5,IF(H46&gt;=3,4,IF(H46&gt;=1,3)))),0)))</f>
        <v>3</v>
      </c>
      <c r="G29" s="1046" t="s">
        <v>835</v>
      </c>
      <c r="H29" s="936"/>
      <c r="I29" s="1046"/>
      <c r="J29" s="1051"/>
      <c r="K29" s="1046" t="s">
        <v>1325</v>
      </c>
      <c r="L29" s="936"/>
      <c r="M29" s="2050">
        <v>0</v>
      </c>
      <c r="N29" s="1136" t="s">
        <v>2156</v>
      </c>
      <c r="O29" s="1405"/>
    </row>
    <row r="30" spans="2:15" ht="21" customHeight="1">
      <c r="B30" s="1378"/>
      <c r="C30" s="1" t="s">
        <v>2844</v>
      </c>
      <c r="D30" s="908"/>
      <c r="E30" s="918"/>
      <c r="F30" s="937" t="str">
        <f>IF(F29=$S$16,$T$10,IF(ROUNDDOWN(F29,0)=$S$10,$U$10,$T$10))</f>
        <v>　レベル　1</v>
      </c>
      <c r="G30" s="3144" t="s">
        <v>2178</v>
      </c>
      <c r="H30" s="3487"/>
      <c r="I30" s="3487"/>
      <c r="J30" s="3488"/>
      <c r="K30" s="3220" t="s">
        <v>718</v>
      </c>
      <c r="L30" s="3424"/>
      <c r="M30" s="1133" t="str">
        <f>IF(M29=$S$16,$T$10,IF(ROUNDDOWN(M29,0)=$S$10,$U$10,$T$10))</f>
        <v>　レベル　1</v>
      </c>
      <c r="N30" s="1406" t="s">
        <v>836</v>
      </c>
      <c r="O30" s="1407"/>
    </row>
    <row r="31" spans="2:15" ht="39.75" customHeight="1">
      <c r="B31" s="1378"/>
      <c r="C31" s="1" t="s">
        <v>1158</v>
      </c>
      <c r="D31" s="908"/>
      <c r="E31" s="918"/>
      <c r="F31" s="942" t="str">
        <f>IF(F29=$S$16,$T$11,IF(ROUNDDOWN(F29,0)=$S$11,$U$11,$T$11))</f>
        <v>　レベル　2</v>
      </c>
      <c r="G31" s="3166" t="s">
        <v>719</v>
      </c>
      <c r="H31" s="3489"/>
      <c r="I31" s="3489"/>
      <c r="J31" s="3413"/>
      <c r="K31" s="3425"/>
      <c r="L31" s="3426"/>
      <c r="M31" s="1134" t="str">
        <f>IF(M29=$S$16,$T$11,IF(ROUNDDOWN(M29,0)=$S$11,$U$11,$T$11))</f>
        <v>　レベル　2</v>
      </c>
      <c r="N31" s="1408" t="s">
        <v>836</v>
      </c>
      <c r="O31" s="1409"/>
    </row>
    <row r="32" spans="2:15" ht="39.75" customHeight="1">
      <c r="B32" s="1378"/>
      <c r="C32" s="1">
        <v>3</v>
      </c>
      <c r="D32" s="908"/>
      <c r="E32" s="918"/>
      <c r="F32" s="942" t="str">
        <f>IF(F29=$S$16,$T$12,IF(ROUNDDOWN(F29,0)=$S$12,$U$12,$T$12))</f>
        <v>■レベル　3</v>
      </c>
      <c r="G32" s="3166" t="s">
        <v>720</v>
      </c>
      <c r="H32" s="3489"/>
      <c r="I32" s="3489"/>
      <c r="J32" s="3413"/>
      <c r="K32" s="3425"/>
      <c r="L32" s="3426"/>
      <c r="M32" s="1134" t="str">
        <f>IF(M29=$S$16,$T$12,IF(ROUNDDOWN(M29,0)=$S$12,$U$12,$T$12))</f>
        <v>　レベル　3</v>
      </c>
      <c r="N32" s="3215" t="s">
        <v>567</v>
      </c>
      <c r="O32" s="3455"/>
    </row>
    <row r="33" spans="2:15" ht="44.25" customHeight="1">
      <c r="B33" s="1378"/>
      <c r="C33" s="1" t="s">
        <v>1159</v>
      </c>
      <c r="D33" s="908"/>
      <c r="E33" s="918"/>
      <c r="F33" s="942" t="str">
        <f>IF(F29=$S$16,$T$13,IF(ROUNDDOWN(F29,0)=$S$13,$U$13,$T$13))</f>
        <v>　レベル　4</v>
      </c>
      <c r="G33" s="3166" t="s">
        <v>568</v>
      </c>
      <c r="H33" s="3489"/>
      <c r="I33" s="3489"/>
      <c r="J33" s="3413"/>
      <c r="K33" s="3425"/>
      <c r="L33" s="3426"/>
      <c r="M33" s="1134" t="str">
        <f>IF(M29=$S$16,$T$13,IF(ROUNDDOWN(M29,0)=$S$13,$U$13,$T$13))</f>
        <v>　レベル　4</v>
      </c>
      <c r="N33" s="1408" t="s">
        <v>837</v>
      </c>
      <c r="O33" s="1409"/>
    </row>
    <row r="34" spans="2:15" ht="43.5" customHeight="1">
      <c r="B34" s="1378"/>
      <c r="C34" s="1">
        <v>5</v>
      </c>
      <c r="D34" s="908"/>
      <c r="E34" s="918"/>
      <c r="F34" s="953" t="str">
        <f>IF(F29=$S$16,$T$14,IF(ROUNDDOWN(F29,0)=$S$14,$U$14,$T$14))</f>
        <v>　レベル　5</v>
      </c>
      <c r="G34" s="3167" t="s">
        <v>569</v>
      </c>
      <c r="H34" s="3485"/>
      <c r="I34" s="3485"/>
      <c r="J34" s="3486"/>
      <c r="K34" s="3427"/>
      <c r="L34" s="3428"/>
      <c r="M34" s="1135" t="str">
        <f>IF(M29=$S$16,$T$14,IF(ROUNDDOWN(M29,0)=$S$14,$U$14,$T$14))</f>
        <v>　レベル　5</v>
      </c>
      <c r="N34" s="3218" t="s">
        <v>570</v>
      </c>
      <c r="O34" s="3456"/>
    </row>
    <row r="35" spans="2:15">
      <c r="B35" s="2055"/>
      <c r="C35" s="960">
        <v>0</v>
      </c>
      <c r="D35" s="1410"/>
      <c r="E35" s="559"/>
      <c r="F35" s="914"/>
      <c r="G35" s="914" t="s">
        <v>2463</v>
      </c>
      <c r="H35" s="559"/>
      <c r="I35" s="559"/>
      <c r="J35" s="559"/>
      <c r="K35" s="559"/>
      <c r="L35" s="1389"/>
      <c r="M35" s="559"/>
      <c r="N35" s="559"/>
      <c r="O35" s="559"/>
    </row>
    <row r="36" spans="2:15" ht="16" thickBot="1">
      <c r="D36" s="908"/>
      <c r="E36" s="559"/>
      <c r="F36" s="1284"/>
      <c r="G36" s="1297" t="s">
        <v>234</v>
      </c>
      <c r="H36" s="3339" t="s">
        <v>1755</v>
      </c>
      <c r="I36" s="3340"/>
      <c r="J36" s="3341"/>
      <c r="K36" s="1411" t="s">
        <v>1748</v>
      </c>
      <c r="L36" s="1412"/>
      <c r="M36" s="1413"/>
      <c r="N36" s="1413"/>
      <c r="O36" s="1196" t="s">
        <v>1756</v>
      </c>
    </row>
    <row r="37" spans="2:15" ht="31.5" customHeight="1" thickBot="1">
      <c r="D37" s="908"/>
      <c r="E37" s="559"/>
      <c r="F37" s="1284"/>
      <c r="G37" s="930"/>
      <c r="H37" s="1182" t="s">
        <v>2286</v>
      </c>
      <c r="I37" s="1183"/>
      <c r="J37" s="1183"/>
      <c r="K37" s="1183"/>
      <c r="L37" s="1183"/>
      <c r="M37" s="1183"/>
      <c r="N37" s="1183"/>
      <c r="O37" s="1184"/>
    </row>
    <row r="38" spans="2:15" ht="15.5">
      <c r="B38">
        <v>0</v>
      </c>
      <c r="C38">
        <v>0</v>
      </c>
      <c r="D38" s="908"/>
      <c r="E38" s="559"/>
      <c r="F38" s="1284"/>
      <c r="G38" s="3465">
        <v>1</v>
      </c>
      <c r="H38" s="3302" t="s">
        <v>3408</v>
      </c>
      <c r="I38" s="3468"/>
      <c r="J38" s="3221"/>
      <c r="K38" s="1171" t="s">
        <v>571</v>
      </c>
      <c r="L38" s="1414"/>
      <c r="M38" s="1247"/>
      <c r="N38" s="1247"/>
      <c r="O38" s="2018">
        <v>1</v>
      </c>
    </row>
    <row r="39" spans="2:15" ht="15.5">
      <c r="B39">
        <v>1</v>
      </c>
      <c r="C39">
        <v>1</v>
      </c>
      <c r="D39" s="908"/>
      <c r="E39" s="559"/>
      <c r="F39" s="1284"/>
      <c r="G39" s="3466"/>
      <c r="H39" s="3469"/>
      <c r="I39" s="3348"/>
      <c r="J39" s="3378"/>
      <c r="K39" s="1174" t="s">
        <v>838</v>
      </c>
      <c r="L39" s="2019"/>
      <c r="M39" s="2020"/>
      <c r="N39" s="2020"/>
      <c r="O39" s="2021">
        <v>3</v>
      </c>
    </row>
    <row r="40" spans="2:15" ht="15.5">
      <c r="B40">
        <v>3</v>
      </c>
      <c r="C40">
        <v>2</v>
      </c>
      <c r="D40" s="908"/>
      <c r="E40" s="559"/>
      <c r="F40" s="1284"/>
      <c r="G40" s="3467"/>
      <c r="H40" s="3470"/>
      <c r="I40" s="3342"/>
      <c r="J40" s="3343"/>
      <c r="K40" s="1173" t="s">
        <v>839</v>
      </c>
      <c r="L40" s="1415"/>
      <c r="M40" s="1300"/>
      <c r="N40" s="1300"/>
      <c r="O40" s="2021">
        <v>4</v>
      </c>
    </row>
    <row r="41" spans="2:15" ht="15.5">
      <c r="B41">
        <v>4</v>
      </c>
      <c r="C41">
        <v>3</v>
      </c>
      <c r="D41" s="908"/>
      <c r="E41" s="559"/>
      <c r="F41" s="1284"/>
      <c r="G41" s="3471">
        <v>0</v>
      </c>
      <c r="H41" s="3387" t="s">
        <v>3409</v>
      </c>
      <c r="I41" s="3477"/>
      <c r="J41" s="3478"/>
      <c r="K41" s="1173" t="s">
        <v>572</v>
      </c>
      <c r="L41" s="1415"/>
      <c r="M41" s="1300"/>
      <c r="N41" s="1300"/>
      <c r="O41" s="2021">
        <v>1</v>
      </c>
    </row>
    <row r="42" spans="2:15" ht="15.5">
      <c r="C42">
        <v>4</v>
      </c>
      <c r="D42" s="908"/>
      <c r="E42" s="559"/>
      <c r="F42" s="1284"/>
      <c r="G42" s="3472"/>
      <c r="H42" s="3479"/>
      <c r="I42" s="3480"/>
      <c r="J42" s="3481"/>
      <c r="K42" s="1174" t="s">
        <v>840</v>
      </c>
      <c r="L42" s="2019"/>
      <c r="M42" s="2020"/>
      <c r="N42" s="2020"/>
      <c r="O42" s="2021">
        <v>3</v>
      </c>
    </row>
    <row r="43" spans="2:15" ht="15.5">
      <c r="C43">
        <v>5</v>
      </c>
      <c r="D43" s="908"/>
      <c r="E43" s="559"/>
      <c r="F43" s="1284"/>
      <c r="G43" s="3473"/>
      <c r="H43" s="3482"/>
      <c r="I43" s="3483"/>
      <c r="J43" s="3484"/>
      <c r="K43" s="1312" t="s">
        <v>841</v>
      </c>
      <c r="L43" s="1416"/>
      <c r="M43" s="1304"/>
      <c r="N43" s="1304"/>
      <c r="O43" s="2022">
        <v>4</v>
      </c>
    </row>
    <row r="44" spans="2:15" ht="30.75" customHeight="1">
      <c r="C44">
        <v>6</v>
      </c>
      <c r="D44" s="908"/>
      <c r="E44" s="559"/>
      <c r="F44" s="1284"/>
      <c r="G44" s="3474">
        <v>0</v>
      </c>
      <c r="H44" s="3387" t="s">
        <v>842</v>
      </c>
      <c r="I44" s="3345"/>
      <c r="J44" s="3346"/>
      <c r="K44" s="3148" t="s">
        <v>573</v>
      </c>
      <c r="L44" s="3165"/>
      <c r="M44" s="3165"/>
      <c r="N44" s="3192"/>
      <c r="O44" s="2023">
        <v>1</v>
      </c>
    </row>
    <row r="45" spans="2:15" ht="22.5" thickBot="1">
      <c r="C45">
        <v>7</v>
      </c>
      <c r="D45" s="908"/>
      <c r="E45" s="1284"/>
      <c r="F45" s="1285"/>
      <c r="G45" s="3475"/>
      <c r="H45" s="3244"/>
      <c r="I45" s="3476"/>
      <c r="J45" s="3223"/>
      <c r="K45" s="1177" t="s">
        <v>574</v>
      </c>
      <c r="L45" s="2024"/>
      <c r="M45" s="2025"/>
      <c r="N45" s="2025"/>
      <c r="O45" s="2057" t="s">
        <v>1791</v>
      </c>
    </row>
    <row r="46" spans="2:15" ht="15.5">
      <c r="C46">
        <v>8</v>
      </c>
      <c r="D46" s="908"/>
      <c r="E46" s="1284"/>
      <c r="F46" s="1285"/>
      <c r="G46" s="1191" t="s">
        <v>1777</v>
      </c>
      <c r="H46" s="1209">
        <f>IF(G37=$S3,0,SUM(G38:G45))</f>
        <v>1</v>
      </c>
      <c r="I46" s="1209"/>
      <c r="J46" s="1209"/>
      <c r="K46" s="1193"/>
      <c r="L46" s="1417"/>
      <c r="M46" s="1193"/>
      <c r="N46" s="1194"/>
      <c r="O46" s="1203"/>
    </row>
    <row r="47" spans="2:15" ht="6.75" customHeight="1">
      <c r="C47">
        <v>9</v>
      </c>
      <c r="D47" s="1326"/>
      <c r="E47" s="915"/>
      <c r="F47" s="916"/>
      <c r="G47" s="916"/>
      <c r="H47" s="916"/>
      <c r="I47" s="916"/>
      <c r="J47" s="916"/>
      <c r="K47" s="916"/>
      <c r="L47" s="1390"/>
      <c r="M47" s="916"/>
      <c r="N47" s="916"/>
      <c r="O47" s="916"/>
    </row>
    <row r="48" spans="2:15" ht="15.5">
      <c r="D48" s="1326"/>
      <c r="E48" s="915"/>
      <c r="F48" s="916"/>
      <c r="G48" s="916"/>
      <c r="H48" s="916"/>
      <c r="I48" s="916"/>
      <c r="J48" s="916"/>
      <c r="K48" s="916"/>
      <c r="L48" s="1390"/>
      <c r="M48" s="916"/>
      <c r="N48" s="916"/>
      <c r="O48" s="916"/>
    </row>
    <row r="49" spans="2:15" ht="14.25" customHeight="1">
      <c r="D49" s="1326">
        <v>2.2000000000000002</v>
      </c>
      <c r="E49" s="915" t="s">
        <v>575</v>
      </c>
      <c r="F49" s="915"/>
      <c r="G49" s="1418"/>
      <c r="H49" s="1419"/>
      <c r="I49" s="1419"/>
      <c r="J49" s="999" t="e">
        <f>IF(OR(F51=0,J50=0),$R$3,"")</f>
        <v>#DIV/0!</v>
      </c>
      <c r="K49" s="1420"/>
      <c r="L49" s="1421"/>
      <c r="M49" s="912"/>
      <c r="N49" s="912"/>
      <c r="O49" s="912"/>
    </row>
    <row r="50" spans="2:15" ht="14.25" customHeight="1" thickBot="1">
      <c r="D50" s="1391"/>
      <c r="E50" s="1391"/>
      <c r="F50" s="1065"/>
      <c r="G50" s="924"/>
      <c r="H50" s="925"/>
      <c r="I50" s="926" t="s">
        <v>1364</v>
      </c>
      <c r="J50" s="927" t="e">
        <f>重み!M153</f>
        <v>#DIV/0!</v>
      </c>
      <c r="K50" s="1066"/>
      <c r="L50" s="1066"/>
      <c r="M50" s="1066"/>
      <c r="N50" s="1066"/>
      <c r="O50" s="936"/>
    </row>
    <row r="51" spans="2:15" ht="27" customHeight="1" thickBot="1">
      <c r="D51" s="908"/>
      <c r="E51" s="1061"/>
      <c r="F51" s="930">
        <v>3</v>
      </c>
      <c r="G51" s="934" t="s">
        <v>502</v>
      </c>
      <c r="H51" s="935"/>
      <c r="I51" s="935"/>
      <c r="J51" s="935"/>
      <c r="K51" s="935"/>
      <c r="L51" s="1264"/>
      <c r="M51" s="935"/>
      <c r="N51" s="935"/>
      <c r="O51" s="936"/>
    </row>
    <row r="52" spans="2:15" ht="21" customHeight="1">
      <c r="B52" s="1" t="s">
        <v>228</v>
      </c>
      <c r="C52" s="1">
        <v>1</v>
      </c>
      <c r="D52" s="908"/>
      <c r="E52" s="1061"/>
      <c r="F52" s="937" t="str">
        <f>IF(F51=$S$16,$T$10,IF(ROUNDDOWN(F51,0)=$S$10,$U$10,$T$10))</f>
        <v>　レベル　1</v>
      </c>
      <c r="G52" s="939" t="s">
        <v>2178</v>
      </c>
      <c r="H52" s="940"/>
      <c r="I52" s="940"/>
      <c r="J52" s="940"/>
      <c r="K52" s="940"/>
      <c r="L52" s="1265"/>
      <c r="M52" s="940"/>
      <c r="N52" s="940"/>
      <c r="O52" s="941"/>
    </row>
    <row r="53" spans="2:15" ht="21" customHeight="1">
      <c r="B53" s="1" t="s">
        <v>228</v>
      </c>
      <c r="C53" s="1">
        <v>2</v>
      </c>
      <c r="D53" s="908"/>
      <c r="E53" s="1061"/>
      <c r="F53" s="942" t="str">
        <f>IF(F51=$S$16,$T$11,IF(ROUNDDOWN(F51,0)=$S$11,$U$11,$T$11))</f>
        <v>　レベル　2</v>
      </c>
      <c r="G53" s="946" t="s">
        <v>2178</v>
      </c>
      <c r="H53" s="947"/>
      <c r="I53" s="947"/>
      <c r="J53" s="947"/>
      <c r="K53" s="947"/>
      <c r="L53" s="1266"/>
      <c r="M53" s="947"/>
      <c r="N53" s="947"/>
      <c r="O53" s="948"/>
    </row>
    <row r="54" spans="2:15" ht="21" customHeight="1">
      <c r="B54" s="1">
        <v>3</v>
      </c>
      <c r="C54" s="1">
        <v>3</v>
      </c>
      <c r="D54" s="908"/>
      <c r="E54" s="1061"/>
      <c r="F54" s="942" t="str">
        <f>IF(F51=$S$16,$T$12,IF(ROUNDDOWN(F51,0)=$S$12,$U$12,$T$12))</f>
        <v>■レベル　3</v>
      </c>
      <c r="G54" s="946" t="s">
        <v>63</v>
      </c>
      <c r="H54" s="947"/>
      <c r="I54" s="947"/>
      <c r="J54" s="947"/>
      <c r="K54" s="947"/>
      <c r="L54" s="1266"/>
      <c r="M54" s="947"/>
      <c r="N54" s="947"/>
      <c r="O54" s="948"/>
    </row>
    <row r="55" spans="2:15" ht="21" customHeight="1">
      <c r="B55" s="1" t="s">
        <v>228</v>
      </c>
      <c r="C55" s="1">
        <v>4</v>
      </c>
      <c r="D55" s="908"/>
      <c r="E55" s="1061"/>
      <c r="F55" s="942" t="str">
        <f>IF(F51=$S$16,$T$13,IF(ROUNDDOWN(F51,0)=$S$13,$U$13,$T$13))</f>
        <v>　レベル　4</v>
      </c>
      <c r="G55" s="946" t="s">
        <v>2178</v>
      </c>
      <c r="H55" s="947"/>
      <c r="I55" s="947"/>
      <c r="J55" s="947"/>
      <c r="K55" s="947"/>
      <c r="L55" s="1266"/>
      <c r="M55" s="947"/>
      <c r="N55" s="947"/>
      <c r="O55" s="948"/>
    </row>
    <row r="56" spans="2:15" ht="21" customHeight="1">
      <c r="B56" s="1">
        <v>5</v>
      </c>
      <c r="C56" s="1">
        <v>5</v>
      </c>
      <c r="D56" s="908"/>
      <c r="E56" s="1061"/>
      <c r="F56" s="953" t="str">
        <f>IF(F51=$S$16,$T$14,IF(ROUNDDOWN(F51,0)=$S$14,$U$14,$T$14))</f>
        <v>　レベル　5</v>
      </c>
      <c r="G56" s="957" t="s">
        <v>576</v>
      </c>
      <c r="H56" s="958"/>
      <c r="I56" s="958"/>
      <c r="J56" s="958"/>
      <c r="K56" s="958"/>
      <c r="L56" s="1267"/>
      <c r="M56" s="958"/>
      <c r="N56" s="958"/>
      <c r="O56" s="959"/>
    </row>
    <row r="57" spans="2:15" ht="13.5" customHeight="1">
      <c r="B57" s="960">
        <v>0</v>
      </c>
      <c r="C57" s="960">
        <v>0</v>
      </c>
      <c r="D57" s="1326"/>
      <c r="E57" s="915"/>
      <c r="F57" s="916"/>
      <c r="G57" s="916"/>
      <c r="H57" s="916"/>
      <c r="I57" s="916"/>
      <c r="J57" s="916"/>
      <c r="K57" s="916"/>
      <c r="L57" s="1390"/>
      <c r="M57" s="916"/>
      <c r="N57" s="916"/>
      <c r="O57" s="916"/>
    </row>
    <row r="58" spans="2:15" ht="14.25" customHeight="1">
      <c r="D58" s="1326">
        <v>2.2999999999999998</v>
      </c>
      <c r="E58" s="915" t="s">
        <v>1285</v>
      </c>
      <c r="F58" s="916"/>
      <c r="G58" s="1144"/>
      <c r="H58" s="916"/>
      <c r="I58" s="916"/>
      <c r="J58" s="999" t="e">
        <f>IF(OR(F60=0,J59=0),$R$3,"")</f>
        <v>#DIV/0!</v>
      </c>
      <c r="K58" s="916"/>
      <c r="L58" s="1398"/>
      <c r="M58" s="916"/>
      <c r="N58" s="916"/>
    </row>
    <row r="59" spans="2:15" ht="14.25" customHeight="1" thickBot="1">
      <c r="D59" s="908"/>
      <c r="E59" s="1042"/>
      <c r="F59" s="1065"/>
      <c r="G59" s="924"/>
      <c r="H59" s="925"/>
      <c r="I59" s="926" t="s">
        <v>1364</v>
      </c>
      <c r="J59" s="927" t="e">
        <f>重み!M154</f>
        <v>#DIV/0!</v>
      </c>
      <c r="K59" s="1066"/>
      <c r="L59" s="1066"/>
      <c r="M59" s="1066"/>
      <c r="N59" s="1066"/>
      <c r="O59" s="936"/>
    </row>
    <row r="60" spans="2:15" ht="27" customHeight="1" thickBot="1">
      <c r="D60" s="908"/>
      <c r="E60" s="1042"/>
      <c r="F60" s="930">
        <v>3</v>
      </c>
      <c r="G60" s="934" t="s">
        <v>502</v>
      </c>
      <c r="H60" s="935"/>
      <c r="I60" s="935"/>
      <c r="J60" s="935"/>
      <c r="K60" s="935"/>
      <c r="L60" s="1264"/>
      <c r="M60" s="935"/>
      <c r="N60" s="1046" t="s">
        <v>1325</v>
      </c>
      <c r="O60" s="936"/>
    </row>
    <row r="61" spans="2:15" ht="21" customHeight="1">
      <c r="B61" s="1" t="s">
        <v>2842</v>
      </c>
      <c r="C61" s="1">
        <v>1</v>
      </c>
      <c r="D61" s="908"/>
      <c r="E61" s="1042"/>
      <c r="F61" s="937" t="str">
        <f>IF(F60=$S$16,$T$10,IF(ROUNDDOWN(F60,0)=$S$10,$U$10,$T$10))</f>
        <v>　レベル　1</v>
      </c>
      <c r="G61" s="939" t="s">
        <v>2178</v>
      </c>
      <c r="H61" s="940"/>
      <c r="I61" s="940"/>
      <c r="J61" s="940"/>
      <c r="K61" s="940"/>
      <c r="L61" s="1265"/>
      <c r="M61" s="940"/>
      <c r="N61" s="3220" t="s">
        <v>577</v>
      </c>
      <c r="O61" s="3424"/>
    </row>
    <row r="62" spans="2:15" ht="21" customHeight="1">
      <c r="B62" s="1" t="s">
        <v>228</v>
      </c>
      <c r="C62" s="1">
        <v>2</v>
      </c>
      <c r="D62" s="908"/>
      <c r="E62" s="1042"/>
      <c r="F62" s="942" t="str">
        <f>IF(F60=$S$16,$T$11,IF(ROUNDDOWN(F60,0)=$S$11,$U$11,$T$11))</f>
        <v>　レベル　2</v>
      </c>
      <c r="G62" s="946" t="s">
        <v>2178</v>
      </c>
      <c r="H62" s="947"/>
      <c r="I62" s="947"/>
      <c r="J62" s="947"/>
      <c r="K62" s="947"/>
      <c r="L62" s="1266"/>
      <c r="M62" s="947"/>
      <c r="N62" s="3425"/>
      <c r="O62" s="3426"/>
    </row>
    <row r="63" spans="2:15" ht="21" customHeight="1">
      <c r="B63" s="1">
        <v>3</v>
      </c>
      <c r="C63" s="1">
        <v>3</v>
      </c>
      <c r="D63" s="908"/>
      <c r="E63" s="1042"/>
      <c r="F63" s="942" t="str">
        <f>IF(F60=$S$16,$T$12,IF(ROUNDDOWN(F60,0)=$S$12,$U$12,$T$12))</f>
        <v>■レベル　3</v>
      </c>
      <c r="G63" s="946" t="s">
        <v>64</v>
      </c>
      <c r="H63" s="947"/>
      <c r="I63" s="947"/>
      <c r="J63" s="947"/>
      <c r="K63" s="947"/>
      <c r="L63" s="1266"/>
      <c r="M63" s="947"/>
      <c r="N63" s="3425"/>
      <c r="O63" s="3426"/>
    </row>
    <row r="64" spans="2:15" ht="21" customHeight="1">
      <c r="B64" s="1" t="s">
        <v>1158</v>
      </c>
      <c r="C64" s="1">
        <v>4</v>
      </c>
      <c r="D64" s="908"/>
      <c r="E64" s="1042"/>
      <c r="F64" s="942" t="str">
        <f>IF(F60=$S$16,$T$13,IF(ROUNDDOWN(F60,0)=$S$13,$U$13,$T$13))</f>
        <v>　レベル　4</v>
      </c>
      <c r="G64" s="946" t="s">
        <v>2178</v>
      </c>
      <c r="H64" s="947"/>
      <c r="I64" s="947"/>
      <c r="J64" s="947"/>
      <c r="K64" s="947"/>
      <c r="L64" s="1266"/>
      <c r="M64" s="947"/>
      <c r="N64" s="3425"/>
      <c r="O64" s="3426"/>
    </row>
    <row r="65" spans="2:15" ht="21" customHeight="1">
      <c r="B65" s="1">
        <v>5</v>
      </c>
      <c r="C65" s="1">
        <v>5</v>
      </c>
      <c r="D65" s="908"/>
      <c r="E65" s="1042"/>
      <c r="F65" s="953" t="str">
        <f>IF(F60=$S$16,$T$14,IF(ROUNDDOWN(F60,0)=$S$14,$U$14,$T$14))</f>
        <v>　レベル　5</v>
      </c>
      <c r="G65" s="957" t="s">
        <v>65</v>
      </c>
      <c r="H65" s="958"/>
      <c r="I65" s="958"/>
      <c r="J65" s="958"/>
      <c r="K65" s="958"/>
      <c r="L65" s="1267"/>
      <c r="M65" s="958"/>
      <c r="N65" s="3427"/>
      <c r="O65" s="3428"/>
    </row>
    <row r="66" spans="2:15" ht="15" customHeight="1">
      <c r="B66" s="960">
        <v>0</v>
      </c>
      <c r="C66" s="960">
        <v>0</v>
      </c>
      <c r="G66" s="1422" t="s">
        <v>1778</v>
      </c>
      <c r="L66" s="2026"/>
    </row>
    <row r="67" spans="2:15" ht="21" customHeight="1">
      <c r="G67" s="1381" t="s">
        <v>578</v>
      </c>
      <c r="H67" s="2027"/>
      <c r="I67" s="2027"/>
      <c r="J67" s="2027"/>
      <c r="K67" s="3457"/>
      <c r="L67" s="3458"/>
      <c r="M67" s="3458"/>
      <c r="N67" s="3458"/>
      <c r="O67" s="3459"/>
    </row>
    <row r="68" spans="2:15" ht="8.25" customHeight="1">
      <c r="D68" s="908"/>
      <c r="E68" s="909"/>
      <c r="F68" s="909"/>
      <c r="G68" s="1422"/>
      <c r="L68" s="2026"/>
    </row>
    <row r="69" spans="2:15" ht="15" customHeight="1">
      <c r="D69" s="908"/>
      <c r="E69" s="909"/>
      <c r="F69" s="909"/>
      <c r="G69" s="1380" t="s">
        <v>579</v>
      </c>
      <c r="H69" s="132"/>
      <c r="I69" s="132"/>
      <c r="J69" s="132"/>
      <c r="K69" s="132"/>
      <c r="L69" s="2197"/>
      <c r="M69" s="132"/>
    </row>
    <row r="70" spans="2:15" ht="13.5" customHeight="1" thickBot="1">
      <c r="D70" s="908"/>
      <c r="E70" s="909"/>
      <c r="F70" s="909"/>
      <c r="G70" s="1423" t="s">
        <v>580</v>
      </c>
      <c r="H70" s="1424"/>
      <c r="I70" s="1424"/>
      <c r="J70" s="1424"/>
      <c r="K70" s="1424"/>
      <c r="L70" s="1425"/>
      <c r="M70" s="1425"/>
    </row>
    <row r="71" spans="2:15" ht="13.5" customHeight="1" thickTop="1">
      <c r="D71" s="908"/>
      <c r="E71" s="909"/>
      <c r="F71" s="909"/>
      <c r="G71" s="1426" t="s">
        <v>581</v>
      </c>
      <c r="H71" s="1427"/>
      <c r="I71" s="1427"/>
      <c r="J71" s="1428"/>
      <c r="K71" s="1427"/>
      <c r="L71" s="1429"/>
      <c r="M71" s="1430"/>
    </row>
    <row r="72" spans="2:15" ht="13.5" customHeight="1">
      <c r="D72" s="908"/>
      <c r="E72" s="909"/>
      <c r="F72" s="909"/>
      <c r="G72" s="1431"/>
      <c r="H72" s="1208" t="s">
        <v>582</v>
      </c>
      <c r="I72" s="1432"/>
      <c r="J72" s="1433"/>
      <c r="K72" s="1208" t="s">
        <v>99</v>
      </c>
      <c r="L72" s="1208"/>
      <c r="M72" s="1434"/>
    </row>
    <row r="73" spans="2:15" ht="13.5" customHeight="1">
      <c r="D73" s="908"/>
      <c r="E73" s="909"/>
      <c r="F73" s="909"/>
      <c r="G73" s="1431"/>
      <c r="H73" s="1208" t="s">
        <v>380</v>
      </c>
      <c r="I73" s="1432"/>
      <c r="J73" s="1433"/>
      <c r="K73" s="1433" t="s">
        <v>100</v>
      </c>
      <c r="L73" s="1208"/>
      <c r="M73" s="1434"/>
    </row>
    <row r="74" spans="2:15" ht="13.5" customHeight="1">
      <c r="D74" s="908"/>
      <c r="E74" s="909"/>
      <c r="F74" s="909"/>
      <c r="G74" s="1431"/>
      <c r="H74" s="1208" t="s">
        <v>381</v>
      </c>
      <c r="I74" s="1432"/>
      <c r="J74" s="1433"/>
      <c r="K74" s="1433" t="s">
        <v>2039</v>
      </c>
      <c r="L74" s="1208"/>
      <c r="M74" s="1434"/>
    </row>
    <row r="75" spans="2:15" ht="13.5" customHeight="1">
      <c r="D75" s="908"/>
      <c r="E75" s="909"/>
      <c r="F75" s="909"/>
      <c r="G75" s="1431"/>
      <c r="H75" s="1208" t="s">
        <v>382</v>
      </c>
      <c r="I75" s="1432"/>
      <c r="J75" s="1433"/>
      <c r="K75" s="1433"/>
      <c r="L75" s="1435"/>
      <c r="M75" s="1436"/>
    </row>
    <row r="76" spans="2:15" ht="13.5" customHeight="1">
      <c r="D76" s="908"/>
      <c r="E76" s="909"/>
      <c r="F76" s="909"/>
      <c r="G76" s="1437"/>
      <c r="H76" s="1208" t="s">
        <v>101</v>
      </c>
      <c r="I76" s="1438"/>
      <c r="J76" s="1439"/>
      <c r="K76" s="1440"/>
      <c r="L76" s="1441"/>
      <c r="M76" s="1436"/>
    </row>
    <row r="77" spans="2:15" ht="13.5" customHeight="1">
      <c r="D77" s="908"/>
      <c r="E77" s="909"/>
      <c r="F77" s="909"/>
      <c r="G77" s="1442" t="s">
        <v>383</v>
      </c>
      <c r="H77" s="1208"/>
      <c r="I77" s="1438"/>
      <c r="J77" s="1439"/>
      <c r="K77" s="1440"/>
      <c r="L77" s="1441"/>
      <c r="M77" s="1436"/>
    </row>
    <row r="78" spans="2:15" ht="13.5" customHeight="1">
      <c r="D78" s="908"/>
      <c r="E78" s="909"/>
      <c r="F78" s="909"/>
      <c r="G78" s="1443" t="s">
        <v>384</v>
      </c>
      <c r="H78" s="1444"/>
      <c r="I78" s="2106"/>
      <c r="J78" s="1445"/>
      <c r="K78" s="1444"/>
      <c r="L78" s="1446"/>
      <c r="M78" s="1447"/>
    </row>
    <row r="79" spans="2:15" ht="13.5" customHeight="1">
      <c r="D79" s="908"/>
      <c r="E79" s="909"/>
      <c r="F79" s="909"/>
      <c r="G79" s="1448" t="s">
        <v>6</v>
      </c>
      <c r="H79" s="132"/>
      <c r="I79" s="132"/>
      <c r="J79" s="132"/>
      <c r="K79" s="132"/>
      <c r="L79" s="132"/>
      <c r="M79" s="132"/>
      <c r="N79" s="1449"/>
      <c r="O79" s="1449"/>
    </row>
    <row r="80" spans="2:15" ht="9.75" customHeight="1">
      <c r="D80" s="908"/>
      <c r="E80" s="909"/>
      <c r="F80" s="909"/>
      <c r="G80" s="1448" t="s">
        <v>102</v>
      </c>
      <c r="H80" s="132"/>
      <c r="I80" s="132"/>
      <c r="J80" s="132"/>
      <c r="K80" s="132"/>
      <c r="L80" s="132"/>
      <c r="M80" s="132"/>
      <c r="N80" s="1450"/>
      <c r="O80" s="1450"/>
    </row>
    <row r="81" spans="2:15" ht="9.75" customHeight="1">
      <c r="D81" s="908"/>
      <c r="E81" s="909"/>
      <c r="F81" s="909"/>
      <c r="G81" s="1448" t="s">
        <v>103</v>
      </c>
      <c r="H81" s="132"/>
      <c r="I81" s="132"/>
      <c r="J81" s="132"/>
      <c r="K81" s="132"/>
      <c r="L81" s="132"/>
      <c r="M81" s="132"/>
      <c r="N81" s="1449"/>
      <c r="O81" s="1449"/>
    </row>
    <row r="82" spans="2:15" ht="10.5" customHeight="1">
      <c r="G82" s="1451"/>
      <c r="L82" s="2026"/>
    </row>
    <row r="83" spans="2:15" ht="14.25" customHeight="1">
      <c r="D83" s="1326">
        <v>2.4</v>
      </c>
      <c r="E83" s="915" t="s">
        <v>66</v>
      </c>
      <c r="F83" s="908"/>
      <c r="G83" s="908"/>
      <c r="H83" s="908"/>
      <c r="I83" s="908"/>
      <c r="J83" s="999" t="e">
        <f>IF(OR(F85=0,J84=0),$R$3,"")</f>
        <v>#DIV/0!</v>
      </c>
      <c r="K83" s="908"/>
      <c r="L83" s="1452"/>
      <c r="M83" s="908"/>
      <c r="N83" s="908"/>
    </row>
    <row r="84" spans="2:15" ht="14.25" customHeight="1" thickBot="1">
      <c r="D84" s="908"/>
      <c r="E84" s="908"/>
      <c r="F84" s="1065"/>
      <c r="G84" s="924"/>
      <c r="H84" s="925"/>
      <c r="I84" s="926" t="s">
        <v>1364</v>
      </c>
      <c r="J84" s="927" t="e">
        <f>重み!M155</f>
        <v>#DIV/0!</v>
      </c>
      <c r="K84" s="1066"/>
      <c r="L84" s="1066"/>
      <c r="M84" s="1066"/>
      <c r="N84" s="1066"/>
      <c r="O84" s="936"/>
    </row>
    <row r="85" spans="2:15" ht="27" customHeight="1" thickBot="1">
      <c r="D85" s="908"/>
      <c r="E85" s="908"/>
      <c r="F85" s="930">
        <v>3</v>
      </c>
      <c r="G85" s="934" t="s">
        <v>502</v>
      </c>
      <c r="H85" s="935"/>
      <c r="I85" s="935"/>
      <c r="J85" s="935"/>
      <c r="K85" s="935"/>
      <c r="L85" s="1264"/>
      <c r="M85" s="935"/>
      <c r="N85" s="1046" t="s">
        <v>1325</v>
      </c>
      <c r="O85" s="936"/>
    </row>
    <row r="86" spans="2:15" ht="21" customHeight="1">
      <c r="B86" s="1">
        <v>1</v>
      </c>
      <c r="C86" s="1">
        <v>1</v>
      </c>
      <c r="D86" s="908"/>
      <c r="E86" s="908"/>
      <c r="F86" s="937" t="str">
        <f>IF(F85=$S$16,$T$10,IF(ROUNDDOWN(F85,0)=$S$10,$U$10,$T$10))</f>
        <v>　レベル　1</v>
      </c>
      <c r="G86" s="939" t="s">
        <v>7</v>
      </c>
      <c r="H86" s="940"/>
      <c r="I86" s="940"/>
      <c r="J86" s="940"/>
      <c r="K86" s="940"/>
      <c r="L86" s="1265"/>
      <c r="M86" s="940"/>
      <c r="N86" s="3220" t="s">
        <v>8</v>
      </c>
      <c r="O86" s="3424"/>
    </row>
    <row r="87" spans="2:15" ht="21" customHeight="1">
      <c r="B87" s="1" t="s">
        <v>1160</v>
      </c>
      <c r="C87" s="1">
        <v>2</v>
      </c>
      <c r="D87" s="908"/>
      <c r="E87" s="908"/>
      <c r="F87" s="942" t="str">
        <f>IF(F85=$S$16,$T$11,IF(ROUNDDOWN(F85,0)=$S$11,$U$11,$T$11))</f>
        <v>　レベル　2</v>
      </c>
      <c r="G87" s="946" t="s">
        <v>2178</v>
      </c>
      <c r="H87" s="947"/>
      <c r="I87" s="947"/>
      <c r="J87" s="947"/>
      <c r="K87" s="947"/>
      <c r="L87" s="1266"/>
      <c r="M87" s="947"/>
      <c r="N87" s="3425"/>
      <c r="O87" s="3426"/>
    </row>
    <row r="88" spans="2:15" ht="21" customHeight="1">
      <c r="B88" s="1">
        <v>3</v>
      </c>
      <c r="C88" s="1">
        <v>3</v>
      </c>
      <c r="D88" s="908"/>
      <c r="E88" s="908"/>
      <c r="F88" s="942" t="str">
        <f>IF(F85=$S$16,$T$12,IF(ROUNDDOWN(F85,0)=$S$12,$U$12,$T$12))</f>
        <v>■レベル　3</v>
      </c>
      <c r="G88" s="946" t="s">
        <v>9</v>
      </c>
      <c r="H88" s="947"/>
      <c r="I88" s="947"/>
      <c r="J88" s="947"/>
      <c r="K88" s="947"/>
      <c r="L88" s="1266"/>
      <c r="M88" s="947"/>
      <c r="N88" s="3425"/>
      <c r="O88" s="3426"/>
    </row>
    <row r="89" spans="2:15" ht="21" customHeight="1">
      <c r="B89" s="1">
        <v>4</v>
      </c>
      <c r="C89" s="1">
        <v>4</v>
      </c>
      <c r="D89" s="908"/>
      <c r="E89" s="908"/>
      <c r="F89" s="942" t="str">
        <f>IF(F85=$S$16,$T$13,IF(ROUNDDOWN(F85,0)=$S$13,$U$13,$T$13))</f>
        <v>　レベル　4</v>
      </c>
      <c r="G89" s="946" t="s">
        <v>10</v>
      </c>
      <c r="H89" s="947"/>
      <c r="I89" s="947"/>
      <c r="J89" s="947"/>
      <c r="K89" s="947"/>
      <c r="L89" s="1266"/>
      <c r="M89" s="947"/>
      <c r="N89" s="3425"/>
      <c r="O89" s="3426"/>
    </row>
    <row r="90" spans="2:15" ht="21" customHeight="1">
      <c r="B90" s="1">
        <v>5</v>
      </c>
      <c r="C90" s="1">
        <v>5</v>
      </c>
      <c r="D90" s="908"/>
      <c r="E90" s="908"/>
      <c r="F90" s="953" t="str">
        <f>IF(F85=$S$16,$T$14,IF(ROUNDDOWN(F85,0)=$S$14,$U$14,$T$14))</f>
        <v>　レベル　5</v>
      </c>
      <c r="G90" s="957" t="s">
        <v>11</v>
      </c>
      <c r="H90" s="958"/>
      <c r="I90" s="958"/>
      <c r="J90" s="958"/>
      <c r="K90" s="958"/>
      <c r="L90" s="1267"/>
      <c r="M90" s="958"/>
      <c r="N90" s="3427"/>
      <c r="O90" s="3428"/>
    </row>
    <row r="91" spans="2:15" ht="14.25" customHeight="1">
      <c r="B91" s="960">
        <v>0</v>
      </c>
      <c r="C91" s="960">
        <v>0</v>
      </c>
      <c r="D91" s="908"/>
      <c r="E91" s="1059"/>
      <c r="G91" s="1422" t="s">
        <v>2006</v>
      </c>
      <c r="L91" s="2026"/>
    </row>
    <row r="92" spans="2:15" ht="21" customHeight="1">
      <c r="G92" s="1381" t="s">
        <v>578</v>
      </c>
      <c r="H92" s="2027"/>
      <c r="I92" s="2027"/>
      <c r="J92" s="2027"/>
      <c r="K92" s="3457"/>
      <c r="L92" s="3458"/>
      <c r="M92" s="3458"/>
      <c r="N92" s="3458"/>
      <c r="O92" s="3459"/>
    </row>
    <row r="93" spans="2:15" ht="5.25" customHeight="1">
      <c r="D93" s="908"/>
      <c r="E93" s="1059"/>
      <c r="G93" s="1422"/>
      <c r="L93" s="2026"/>
    </row>
    <row r="94" spans="2:15" ht="14.25" customHeight="1">
      <c r="D94" s="908"/>
      <c r="E94" s="909"/>
      <c r="F94" s="909"/>
      <c r="G94" s="1380" t="s">
        <v>579</v>
      </c>
      <c r="H94" s="132"/>
      <c r="I94" s="132"/>
      <c r="J94" s="132"/>
      <c r="K94" s="132"/>
      <c r="L94" s="2197"/>
      <c r="M94" s="132"/>
      <c r="N94" s="132"/>
      <c r="O94" s="132"/>
    </row>
    <row r="95" spans="2:15" ht="13.5" customHeight="1" thickBot="1">
      <c r="D95" s="908"/>
      <c r="E95" s="909"/>
      <c r="F95" s="909"/>
      <c r="G95" s="1453" t="s">
        <v>580</v>
      </c>
      <c r="H95" s="1454"/>
      <c r="I95" s="1454"/>
      <c r="J95" s="1454"/>
      <c r="K95" s="1454"/>
      <c r="L95" s="1454"/>
      <c r="M95" s="1454"/>
      <c r="N95" s="1454"/>
      <c r="O95" s="1455"/>
    </row>
    <row r="96" spans="2:15" ht="13.5" customHeight="1" thickTop="1">
      <c r="D96" s="908"/>
      <c r="E96" s="909"/>
      <c r="F96" s="909"/>
      <c r="G96" s="1054" t="s">
        <v>12</v>
      </c>
      <c r="H96" s="1055"/>
      <c r="I96" s="1055"/>
      <c r="J96" s="1055"/>
      <c r="K96" s="1055"/>
      <c r="L96" s="1055"/>
      <c r="M96" s="1055"/>
      <c r="N96" s="1055"/>
      <c r="O96" s="1456"/>
    </row>
    <row r="97" spans="4:15" ht="13.5" customHeight="1">
      <c r="D97" s="908"/>
      <c r="E97" s="909"/>
      <c r="F97" s="909"/>
      <c r="G97" s="946"/>
      <c r="H97" s="947" t="s">
        <v>13</v>
      </c>
      <c r="I97" s="947"/>
      <c r="J97" s="947"/>
      <c r="K97" s="947"/>
      <c r="L97" s="947" t="s">
        <v>339</v>
      </c>
      <c r="M97" s="947"/>
      <c r="N97" s="947"/>
      <c r="O97" s="948"/>
    </row>
    <row r="98" spans="4:15" ht="13.5" customHeight="1">
      <c r="D98" s="908"/>
      <c r="E98" s="909"/>
      <c r="F98" s="909"/>
      <c r="G98" s="946"/>
      <c r="H98" s="947" t="s">
        <v>14</v>
      </c>
      <c r="I98" s="947"/>
      <c r="J98" s="947"/>
      <c r="K98" s="947"/>
      <c r="L98" s="947" t="s">
        <v>2038</v>
      </c>
      <c r="M98" s="947"/>
      <c r="N98" s="947"/>
      <c r="O98" s="948"/>
    </row>
    <row r="99" spans="4:15" ht="13.5" customHeight="1">
      <c r="D99" s="908"/>
      <c r="E99" s="909"/>
      <c r="F99" s="909"/>
      <c r="G99" s="946"/>
      <c r="H99" s="947" t="s">
        <v>15</v>
      </c>
      <c r="I99" s="947"/>
      <c r="J99" s="947"/>
      <c r="K99" s="947"/>
      <c r="L99" s="947" t="s">
        <v>104</v>
      </c>
      <c r="M99" s="947"/>
      <c r="N99" s="947"/>
      <c r="O99" s="948"/>
    </row>
    <row r="100" spans="4:15" ht="13.5" customHeight="1">
      <c r="D100" s="908"/>
      <c r="E100" s="909"/>
      <c r="F100" s="909"/>
      <c r="G100" s="946"/>
      <c r="H100" s="947" t="s">
        <v>1798</v>
      </c>
      <c r="I100" s="947"/>
      <c r="J100" s="947"/>
      <c r="K100" s="947"/>
      <c r="L100" s="947" t="s">
        <v>2039</v>
      </c>
      <c r="M100" s="947"/>
      <c r="N100" s="947"/>
      <c r="O100" s="948"/>
    </row>
    <row r="101" spans="4:15" ht="13.5" customHeight="1">
      <c r="D101" s="908"/>
      <c r="E101" s="909"/>
      <c r="F101" s="909"/>
      <c r="G101" s="946"/>
      <c r="H101" s="947" t="s">
        <v>1799</v>
      </c>
      <c r="I101" s="947"/>
      <c r="J101" s="947"/>
      <c r="K101" s="947"/>
      <c r="L101" s="947" t="s">
        <v>1451</v>
      </c>
      <c r="M101" s="947"/>
      <c r="N101" s="947"/>
      <c r="O101" s="948"/>
    </row>
    <row r="102" spans="4:15" ht="13.5" customHeight="1">
      <c r="D102" s="908"/>
      <c r="E102" s="909"/>
      <c r="F102" s="909"/>
      <c r="G102" s="946"/>
      <c r="H102" s="947" t="s">
        <v>105</v>
      </c>
      <c r="I102" s="947"/>
      <c r="J102" s="947"/>
      <c r="K102" s="947"/>
      <c r="L102" s="947" t="s">
        <v>106</v>
      </c>
      <c r="M102" s="947"/>
      <c r="N102" s="947"/>
      <c r="O102" s="948"/>
    </row>
    <row r="103" spans="4:15" ht="13.5" customHeight="1">
      <c r="D103" s="908"/>
      <c r="E103" s="909"/>
      <c r="F103" s="909"/>
      <c r="G103" s="946"/>
      <c r="H103" s="947" t="s">
        <v>107</v>
      </c>
      <c r="I103" s="947"/>
      <c r="J103" s="947"/>
      <c r="K103" s="947"/>
      <c r="L103" s="947" t="s">
        <v>108</v>
      </c>
      <c r="M103" s="947"/>
      <c r="N103" s="947"/>
      <c r="O103" s="948"/>
    </row>
    <row r="104" spans="4:15" ht="13.5" customHeight="1">
      <c r="D104" s="908"/>
      <c r="E104" s="909"/>
      <c r="F104" s="909"/>
      <c r="G104" s="946"/>
      <c r="H104" s="2232" t="s">
        <v>1452</v>
      </c>
      <c r="I104" s="947"/>
      <c r="J104" s="947"/>
      <c r="K104" s="947"/>
      <c r="L104" s="947" t="s">
        <v>109</v>
      </c>
      <c r="M104" s="947"/>
      <c r="N104" s="947"/>
      <c r="O104" s="948"/>
    </row>
    <row r="105" spans="4:15" ht="13.5" customHeight="1">
      <c r="D105" s="908"/>
      <c r="E105" s="909"/>
      <c r="F105" s="909"/>
      <c r="G105" s="946"/>
      <c r="H105" s="2232" t="s">
        <v>111</v>
      </c>
      <c r="I105" s="947"/>
      <c r="J105" s="947"/>
      <c r="K105" s="947"/>
      <c r="L105" s="947" t="s">
        <v>110</v>
      </c>
      <c r="M105" s="947"/>
      <c r="N105" s="947"/>
      <c r="O105" s="948"/>
    </row>
    <row r="106" spans="4:15" ht="13.5" customHeight="1">
      <c r="D106" s="908"/>
      <c r="E106" s="909"/>
      <c r="F106" s="909"/>
      <c r="G106" s="946"/>
      <c r="H106" s="2232" t="s">
        <v>112</v>
      </c>
      <c r="I106" s="947"/>
      <c r="J106" s="947"/>
      <c r="K106" s="947"/>
      <c r="L106" s="2232" t="s">
        <v>1453</v>
      </c>
      <c r="M106" s="947"/>
      <c r="N106" s="947"/>
      <c r="O106" s="948"/>
    </row>
    <row r="107" spans="4:15" ht="13.5" hidden="1" customHeight="1">
      <c r="D107" s="908"/>
      <c r="E107" s="909"/>
      <c r="F107" s="909"/>
      <c r="G107" s="946"/>
      <c r="H107" s="947"/>
      <c r="I107" s="947"/>
      <c r="J107" s="947"/>
      <c r="K107" s="947"/>
      <c r="L107" s="947"/>
      <c r="M107" s="947"/>
      <c r="N107" s="947"/>
      <c r="O107" s="948"/>
    </row>
    <row r="108" spans="4:15" ht="13.5" customHeight="1">
      <c r="D108" s="908"/>
      <c r="E108" s="909"/>
      <c r="F108" s="909"/>
      <c r="G108" s="957"/>
      <c r="H108" s="958"/>
      <c r="I108" s="958"/>
      <c r="J108" s="958"/>
      <c r="K108" s="958"/>
      <c r="L108" s="958" t="s">
        <v>113</v>
      </c>
      <c r="M108" s="958"/>
      <c r="N108" s="958"/>
      <c r="O108" s="959"/>
    </row>
    <row r="109" spans="4:15" ht="13.5" customHeight="1">
      <c r="D109" s="908"/>
      <c r="E109" s="909"/>
      <c r="F109" s="909"/>
      <c r="G109" s="1054" t="s">
        <v>114</v>
      </c>
      <c r="H109" s="1055"/>
      <c r="I109" s="1055"/>
      <c r="J109" s="1055"/>
      <c r="K109" s="1055"/>
      <c r="L109" s="1055"/>
      <c r="M109" s="1055"/>
      <c r="N109" s="1055"/>
      <c r="O109" s="1456"/>
    </row>
    <row r="110" spans="4:15" ht="13.5" customHeight="1">
      <c r="D110" s="908"/>
      <c r="E110" s="909"/>
      <c r="F110" s="909"/>
      <c r="G110" s="946"/>
      <c r="H110" s="947" t="s">
        <v>1454</v>
      </c>
      <c r="I110" s="947"/>
      <c r="J110" s="947"/>
      <c r="K110" s="947"/>
      <c r="L110" s="947" t="s">
        <v>1455</v>
      </c>
      <c r="M110" s="947"/>
      <c r="N110" s="947"/>
      <c r="O110" s="948"/>
    </row>
    <row r="111" spans="4:15" ht="13.5" customHeight="1">
      <c r="D111" s="908"/>
      <c r="E111" s="909"/>
      <c r="F111" s="909"/>
      <c r="G111" s="957"/>
      <c r="H111" s="958" t="s">
        <v>1456</v>
      </c>
      <c r="I111" s="958"/>
      <c r="J111" s="958"/>
      <c r="K111" s="958"/>
      <c r="L111" s="958"/>
      <c r="M111" s="958"/>
      <c r="N111" s="958"/>
      <c r="O111" s="959"/>
    </row>
    <row r="112" spans="4:15" ht="13.5" customHeight="1">
      <c r="D112" s="908"/>
      <c r="E112" s="909"/>
      <c r="F112" s="909"/>
      <c r="G112" s="1054" t="s">
        <v>1457</v>
      </c>
      <c r="H112" s="1055"/>
      <c r="I112" s="1055"/>
      <c r="J112" s="1055"/>
      <c r="K112" s="1055"/>
      <c r="L112" s="1055"/>
      <c r="M112" s="1055"/>
      <c r="N112" s="1055"/>
      <c r="O112" s="1456"/>
    </row>
    <row r="113" spans="4:15" ht="13.5" customHeight="1">
      <c r="D113" s="908"/>
      <c r="E113" s="909"/>
      <c r="F113" s="909"/>
      <c r="G113" s="957"/>
      <c r="H113" s="958" t="s">
        <v>115</v>
      </c>
      <c r="I113" s="958"/>
      <c r="J113" s="958"/>
      <c r="K113" s="958"/>
      <c r="L113" s="958"/>
      <c r="M113" s="958"/>
      <c r="N113" s="958"/>
      <c r="O113" s="959"/>
    </row>
    <row r="114" spans="4:15" ht="13.5" customHeight="1">
      <c r="D114" s="908"/>
      <c r="E114" s="909"/>
      <c r="F114" s="909"/>
      <c r="G114" s="1054" t="s">
        <v>1458</v>
      </c>
      <c r="H114" s="1055"/>
      <c r="I114" s="1055"/>
      <c r="J114" s="1055"/>
      <c r="K114" s="1055"/>
      <c r="L114" s="1055"/>
      <c r="M114" s="1055"/>
      <c r="N114" s="1055"/>
      <c r="O114" s="1456"/>
    </row>
    <row r="115" spans="4:15" ht="13.5" customHeight="1">
      <c r="D115" s="908"/>
      <c r="E115" s="909"/>
      <c r="F115" s="909"/>
      <c r="G115" s="946"/>
      <c r="H115" s="947" t="s">
        <v>1459</v>
      </c>
      <c r="I115" s="947"/>
      <c r="J115" s="947"/>
      <c r="K115" s="947"/>
      <c r="L115" s="947" t="s">
        <v>1460</v>
      </c>
      <c r="M115" s="947"/>
      <c r="N115" s="947"/>
      <c r="O115" s="948"/>
    </row>
    <row r="116" spans="4:15" ht="13.5" customHeight="1">
      <c r="D116" s="908"/>
      <c r="E116" s="909"/>
      <c r="F116" s="909"/>
      <c r="G116" s="946"/>
      <c r="H116" s="947" t="s">
        <v>1461</v>
      </c>
      <c r="I116" s="947"/>
      <c r="J116" s="947"/>
      <c r="K116" s="947"/>
      <c r="L116" s="947"/>
      <c r="M116" s="947"/>
      <c r="N116" s="947"/>
      <c r="O116" s="948"/>
    </row>
    <row r="117" spans="4:15" ht="13.5" customHeight="1">
      <c r="D117" s="908"/>
      <c r="E117" s="909"/>
      <c r="F117" s="909"/>
      <c r="G117" s="946"/>
      <c r="H117" s="947" t="s">
        <v>1462</v>
      </c>
      <c r="I117" s="947"/>
      <c r="J117" s="947"/>
      <c r="K117" s="947"/>
      <c r="L117" s="947"/>
      <c r="M117" s="947"/>
      <c r="N117" s="947"/>
      <c r="O117" s="948"/>
    </row>
    <row r="118" spans="4:15" ht="13.5" customHeight="1">
      <c r="D118" s="908"/>
      <c r="E118" s="909"/>
      <c r="F118" s="909"/>
      <c r="G118" s="946"/>
      <c r="H118" s="947" t="s">
        <v>1463</v>
      </c>
      <c r="I118" s="947"/>
      <c r="J118" s="947"/>
      <c r="K118" s="947"/>
      <c r="L118" s="947"/>
      <c r="M118" s="947"/>
      <c r="N118" s="947"/>
      <c r="O118" s="948"/>
    </row>
    <row r="119" spans="4:15" ht="13.5" customHeight="1">
      <c r="D119" s="908"/>
      <c r="E119" s="909"/>
      <c r="F119" s="909"/>
      <c r="G119" s="946"/>
      <c r="H119" s="947" t="s">
        <v>1464</v>
      </c>
      <c r="I119" s="947"/>
      <c r="J119" s="947"/>
      <c r="K119" s="947"/>
      <c r="L119" s="947" t="s">
        <v>1465</v>
      </c>
      <c r="M119" s="947"/>
      <c r="N119" s="947"/>
      <c r="O119" s="948"/>
    </row>
    <row r="120" spans="4:15" ht="13.5" customHeight="1">
      <c r="D120" s="908"/>
      <c r="E120" s="909"/>
      <c r="F120" s="909"/>
      <c r="G120" s="946"/>
      <c r="H120" s="947" t="s">
        <v>116</v>
      </c>
      <c r="I120" s="947"/>
      <c r="J120" s="947"/>
      <c r="K120" s="947"/>
      <c r="L120" s="947" t="s">
        <v>2912</v>
      </c>
      <c r="M120" s="947"/>
      <c r="N120" s="947"/>
      <c r="O120" s="948"/>
    </row>
    <row r="121" spans="4:15" ht="13.5" customHeight="1">
      <c r="D121" s="908"/>
      <c r="E121" s="909"/>
      <c r="F121" s="909"/>
      <c r="G121" s="957"/>
      <c r="H121" s="958" t="s">
        <v>1466</v>
      </c>
      <c r="I121" s="958"/>
      <c r="J121" s="958"/>
      <c r="K121" s="958"/>
      <c r="L121" s="958"/>
      <c r="M121" s="958"/>
      <c r="N121" s="958"/>
      <c r="O121" s="959"/>
    </row>
    <row r="122" spans="4:15" ht="13.5" customHeight="1">
      <c r="D122" s="908"/>
      <c r="E122" s="909"/>
      <c r="F122" s="909"/>
      <c r="G122" s="1054" t="s">
        <v>1467</v>
      </c>
      <c r="H122" s="1055"/>
      <c r="I122" s="1055"/>
      <c r="J122" s="1055"/>
      <c r="K122" s="1055"/>
      <c r="L122" s="1055"/>
      <c r="M122" s="1055"/>
      <c r="N122" s="1055"/>
      <c r="O122" s="1456"/>
    </row>
    <row r="123" spans="4:15" ht="13.5" customHeight="1">
      <c r="D123" s="908"/>
      <c r="E123" s="909"/>
      <c r="F123" s="909"/>
      <c r="G123" s="946"/>
      <c r="H123" s="947" t="s">
        <v>1468</v>
      </c>
      <c r="I123" s="947"/>
      <c r="J123" s="947"/>
      <c r="K123" s="947"/>
      <c r="L123" s="947" t="s">
        <v>1469</v>
      </c>
      <c r="M123" s="947"/>
      <c r="N123" s="947"/>
      <c r="O123" s="948"/>
    </row>
    <row r="124" spans="4:15" ht="13.5" customHeight="1">
      <c r="D124" s="908"/>
      <c r="E124" s="909"/>
      <c r="F124" s="909"/>
      <c r="G124" s="946"/>
      <c r="H124" s="947" t="s">
        <v>1470</v>
      </c>
      <c r="I124" s="947"/>
      <c r="J124" s="947"/>
      <c r="K124" s="947"/>
      <c r="L124" s="947" t="s">
        <v>1471</v>
      </c>
      <c r="M124" s="947"/>
      <c r="N124" s="947"/>
      <c r="O124" s="948"/>
    </row>
    <row r="125" spans="4:15" ht="13.5" customHeight="1">
      <c r="D125" s="908"/>
      <c r="E125" s="909"/>
      <c r="F125" s="909"/>
      <c r="G125" s="946"/>
      <c r="H125" s="947" t="s">
        <v>1472</v>
      </c>
      <c r="I125" s="947"/>
      <c r="J125" s="947"/>
      <c r="K125" s="947"/>
      <c r="L125" s="947" t="s">
        <v>1473</v>
      </c>
      <c r="M125" s="947"/>
      <c r="N125" s="947"/>
      <c r="O125" s="948"/>
    </row>
    <row r="126" spans="4:15" ht="13.5" customHeight="1">
      <c r="D126" s="908"/>
      <c r="E126" s="909"/>
      <c r="F126" s="909"/>
      <c r="G126" s="946"/>
      <c r="H126" s="947" t="s">
        <v>1474</v>
      </c>
      <c r="I126" s="947"/>
      <c r="J126" s="947"/>
      <c r="K126" s="947"/>
      <c r="L126" s="947" t="s">
        <v>1475</v>
      </c>
      <c r="M126" s="947"/>
      <c r="N126" s="947"/>
      <c r="O126" s="948"/>
    </row>
    <row r="127" spans="4:15" ht="13.5" customHeight="1">
      <c r="D127" s="908"/>
      <c r="E127" s="909"/>
      <c r="F127" s="909"/>
      <c r="G127" s="946"/>
      <c r="H127" s="947" t="s">
        <v>1476</v>
      </c>
      <c r="I127" s="947"/>
      <c r="J127" s="947"/>
      <c r="K127" s="947"/>
      <c r="L127" s="947" t="s">
        <v>1477</v>
      </c>
      <c r="M127" s="947"/>
      <c r="N127" s="947"/>
      <c r="O127" s="948"/>
    </row>
    <row r="128" spans="4:15" ht="13.5" customHeight="1">
      <c r="D128" s="908"/>
      <c r="E128" s="909"/>
      <c r="F128" s="909"/>
      <c r="G128" s="1096"/>
      <c r="H128" s="1097" t="s">
        <v>117</v>
      </c>
      <c r="I128" s="1097"/>
      <c r="J128" s="1097"/>
      <c r="K128" s="1097"/>
      <c r="L128" s="947" t="s">
        <v>118</v>
      </c>
      <c r="M128" s="1097"/>
      <c r="N128" s="1097"/>
      <c r="O128" s="1098"/>
    </row>
    <row r="129" spans="2:15" ht="13.5" customHeight="1">
      <c r="D129" s="908"/>
      <c r="E129" s="909"/>
      <c r="F129" s="909"/>
      <c r="G129" s="957"/>
      <c r="H129" s="958"/>
      <c r="I129" s="958"/>
      <c r="J129" s="958"/>
      <c r="K129" s="958"/>
      <c r="L129" s="958" t="s">
        <v>1478</v>
      </c>
      <c r="M129" s="958"/>
      <c r="N129" s="958"/>
      <c r="O129" s="959"/>
    </row>
    <row r="130" spans="2:15" ht="13.5" customHeight="1">
      <c r="D130" s="908"/>
      <c r="E130" s="909"/>
      <c r="F130" s="909"/>
      <c r="G130" s="1054" t="s">
        <v>1479</v>
      </c>
      <c r="H130" s="1055"/>
      <c r="I130" s="1055"/>
      <c r="J130" s="1055"/>
      <c r="K130" s="1055"/>
      <c r="L130" s="1055"/>
      <c r="M130" s="1055"/>
      <c r="N130" s="1055"/>
      <c r="O130" s="1456"/>
    </row>
    <row r="131" spans="2:15" ht="13.5" customHeight="1">
      <c r="D131" s="908"/>
      <c r="E131" s="909"/>
      <c r="F131" s="909"/>
      <c r="G131" s="946"/>
      <c r="H131" s="947" t="s">
        <v>1480</v>
      </c>
      <c r="I131" s="947"/>
      <c r="J131" s="947"/>
      <c r="K131" s="947"/>
      <c r="L131" s="947" t="s">
        <v>1481</v>
      </c>
      <c r="M131" s="947"/>
      <c r="N131" s="947"/>
      <c r="O131" s="948"/>
    </row>
    <row r="132" spans="2:15" ht="13.5" customHeight="1">
      <c r="D132" s="908"/>
      <c r="E132" s="909"/>
      <c r="F132" s="909"/>
      <c r="G132" s="946"/>
      <c r="H132" s="947" t="s">
        <v>1482</v>
      </c>
      <c r="I132" s="947"/>
      <c r="J132" s="947"/>
      <c r="K132" s="947"/>
      <c r="L132" s="947" t="s">
        <v>1483</v>
      </c>
      <c r="M132" s="947"/>
      <c r="N132" s="947"/>
      <c r="O132" s="948"/>
    </row>
    <row r="133" spans="2:15" ht="13.5" customHeight="1">
      <c r="D133" s="908"/>
      <c r="E133" s="909"/>
      <c r="F133" s="909"/>
      <c r="G133" s="957"/>
      <c r="H133" s="958" t="s">
        <v>1484</v>
      </c>
      <c r="I133" s="958"/>
      <c r="J133" s="958"/>
      <c r="K133" s="958"/>
      <c r="L133" s="958"/>
      <c r="M133" s="958"/>
      <c r="N133" s="958"/>
      <c r="O133" s="959"/>
    </row>
    <row r="134" spans="2:15" ht="13.5" customHeight="1">
      <c r="D134" s="908"/>
      <c r="E134" s="909"/>
      <c r="F134" s="909"/>
      <c r="G134" s="1054" t="s">
        <v>1485</v>
      </c>
      <c r="H134" s="1055"/>
      <c r="I134" s="1055"/>
      <c r="J134" s="1055"/>
      <c r="K134" s="1055"/>
      <c r="L134" s="1055"/>
      <c r="M134" s="1055"/>
      <c r="N134" s="1055"/>
      <c r="O134" s="1456"/>
    </row>
    <row r="135" spans="2:15" ht="13.5" customHeight="1">
      <c r="D135" s="908"/>
      <c r="E135" s="909"/>
      <c r="F135" s="909"/>
      <c r="G135" s="946"/>
      <c r="H135" s="947" t="s">
        <v>1486</v>
      </c>
      <c r="I135" s="947"/>
      <c r="J135" s="947"/>
      <c r="K135" s="947"/>
      <c r="L135" s="947" t="s">
        <v>1487</v>
      </c>
      <c r="M135" s="947"/>
      <c r="N135" s="947"/>
      <c r="O135" s="948"/>
    </row>
    <row r="136" spans="2:15" ht="13.5" customHeight="1">
      <c r="D136" s="908"/>
      <c r="E136" s="909"/>
      <c r="F136" s="909"/>
      <c r="G136" s="957"/>
      <c r="H136" s="958" t="s">
        <v>1488</v>
      </c>
      <c r="I136" s="958"/>
      <c r="J136" s="958"/>
      <c r="K136" s="958"/>
      <c r="L136" s="958"/>
      <c r="M136" s="958"/>
      <c r="N136" s="958"/>
      <c r="O136" s="959"/>
    </row>
    <row r="137" spans="2:15" ht="13.5" customHeight="1">
      <c r="D137" s="908"/>
      <c r="E137" s="909"/>
      <c r="F137" s="909"/>
      <c r="G137" s="1448" t="s">
        <v>6</v>
      </c>
      <c r="H137" s="132"/>
      <c r="I137" s="132"/>
      <c r="J137" s="132"/>
      <c r="K137" s="132"/>
      <c r="L137" s="132"/>
      <c r="M137" s="132"/>
      <c r="N137" s="132"/>
      <c r="O137" s="132"/>
    </row>
    <row r="138" spans="2:15" ht="13.5" customHeight="1">
      <c r="D138" s="908"/>
      <c r="E138" s="909"/>
      <c r="F138" s="909"/>
      <c r="G138" s="1448" t="s">
        <v>119</v>
      </c>
      <c r="H138" s="132"/>
      <c r="I138" s="132"/>
      <c r="J138" s="132"/>
      <c r="K138" s="132"/>
      <c r="L138" s="132"/>
      <c r="M138" s="132"/>
      <c r="N138" s="132"/>
      <c r="O138" s="132"/>
    </row>
    <row r="139" spans="2:15" ht="13.5" customHeight="1">
      <c r="D139" s="908"/>
      <c r="E139" s="909"/>
      <c r="F139" s="909"/>
      <c r="G139" s="1448" t="s">
        <v>103</v>
      </c>
      <c r="H139" s="132"/>
      <c r="I139" s="132"/>
      <c r="J139" s="132"/>
      <c r="K139" s="132"/>
      <c r="L139" s="132"/>
      <c r="M139" s="132"/>
      <c r="N139" s="132"/>
      <c r="O139" s="132"/>
    </row>
    <row r="140" spans="2:15" ht="14.25" customHeight="1">
      <c r="D140" s="908"/>
      <c r="E140" s="1059"/>
      <c r="L140" s="2026"/>
    </row>
    <row r="141" spans="2:15" ht="15.5">
      <c r="D141" s="1326">
        <v>2.5</v>
      </c>
      <c r="E141" s="915" t="s">
        <v>1489</v>
      </c>
      <c r="F141" s="915"/>
      <c r="G141" s="1457"/>
      <c r="H141" s="1229"/>
      <c r="I141" s="1229"/>
      <c r="J141" s="999" t="e">
        <f>IF(OR(F143=0,J142=0),$R$3,"")</f>
        <v>#DIV/0!</v>
      </c>
      <c r="K141" s="1229"/>
      <c r="L141" s="1458"/>
      <c r="M141" s="1458"/>
      <c r="N141" s="1458"/>
      <c r="O141" s="1458"/>
    </row>
    <row r="142" spans="2:15" ht="14.25" customHeight="1" thickBot="1">
      <c r="D142" s="1391"/>
      <c r="E142" s="1391"/>
      <c r="F142" s="1065"/>
      <c r="G142" s="924"/>
      <c r="H142" s="925"/>
      <c r="I142" s="926" t="s">
        <v>1364</v>
      </c>
      <c r="J142" s="927" t="e">
        <f>重み!M156</f>
        <v>#DIV/0!</v>
      </c>
      <c r="K142" s="1066"/>
      <c r="L142" s="1066"/>
      <c r="M142" s="1066"/>
      <c r="N142" s="1066"/>
      <c r="O142" s="936"/>
    </row>
    <row r="143" spans="2:15" ht="27" customHeight="1" thickBot="1">
      <c r="B143" s="1210" t="s">
        <v>566</v>
      </c>
      <c r="D143" s="908"/>
      <c r="E143" s="1061"/>
      <c r="F143" s="930">
        <v>3</v>
      </c>
      <c r="G143" s="1046" t="s">
        <v>502</v>
      </c>
      <c r="H143" s="935"/>
      <c r="I143" s="935"/>
      <c r="J143" s="935"/>
      <c r="K143" s="935"/>
      <c r="L143" s="1264"/>
      <c r="M143" s="935"/>
      <c r="N143" s="1046" t="s">
        <v>1325</v>
      </c>
      <c r="O143" s="936"/>
    </row>
    <row r="144" spans="2:15" ht="21" customHeight="1">
      <c r="B144" s="1" t="s">
        <v>2842</v>
      </c>
      <c r="C144" s="1">
        <v>1</v>
      </c>
      <c r="D144" s="908"/>
      <c r="E144" s="1061"/>
      <c r="F144" s="937" t="str">
        <f>IF(F143=$S$16,$T$10,IF(ROUNDDOWN(F143,0)=$S$10,$U$10,$T$10))</f>
        <v>　レベル　1</v>
      </c>
      <c r="G144" s="939" t="s">
        <v>2178</v>
      </c>
      <c r="H144" s="940"/>
      <c r="I144" s="940"/>
      <c r="J144" s="940"/>
      <c r="K144" s="940"/>
      <c r="L144" s="1265"/>
      <c r="M144" s="940"/>
      <c r="N144" s="3220" t="s">
        <v>2007</v>
      </c>
      <c r="O144" s="3424"/>
    </row>
    <row r="145" spans="2:18" ht="21" customHeight="1">
      <c r="B145" s="1">
        <v>2</v>
      </c>
      <c r="C145" s="1">
        <v>2</v>
      </c>
      <c r="D145" s="908"/>
      <c r="E145" s="1061"/>
      <c r="F145" s="942" t="str">
        <f>IF(F143=$S$16,$T$11,IF(ROUNDDOWN(F143,0)=$S$11,$U$11,$T$11))</f>
        <v>　レベル　2</v>
      </c>
      <c r="G145" s="946" t="s">
        <v>2008</v>
      </c>
      <c r="H145" s="947"/>
      <c r="I145" s="947"/>
      <c r="J145" s="947"/>
      <c r="K145" s="947"/>
      <c r="L145" s="1266"/>
      <c r="M145" s="947"/>
      <c r="N145" s="3425"/>
      <c r="O145" s="3426"/>
    </row>
    <row r="146" spans="2:18" ht="21" customHeight="1">
      <c r="B146" s="1">
        <v>3</v>
      </c>
      <c r="C146" s="1">
        <v>3</v>
      </c>
      <c r="D146" s="908"/>
      <c r="E146" s="1061"/>
      <c r="F146" s="942" t="str">
        <f>IF(F143=$S$16,$T$12,IF(ROUNDDOWN(F143,0)=$S$12,$U$12,$T$12))</f>
        <v>■レベル　3</v>
      </c>
      <c r="G146" s="946" t="s">
        <v>2009</v>
      </c>
      <c r="H146" s="947"/>
      <c r="I146" s="947"/>
      <c r="J146" s="947"/>
      <c r="K146" s="947"/>
      <c r="L146" s="1266"/>
      <c r="M146" s="947"/>
      <c r="N146" s="3425"/>
      <c r="O146" s="3426"/>
    </row>
    <row r="147" spans="2:18" ht="21" customHeight="1">
      <c r="B147" s="1">
        <v>4</v>
      </c>
      <c r="C147" s="1">
        <v>4</v>
      </c>
      <c r="D147" s="908"/>
      <c r="E147" s="1061"/>
      <c r="F147" s="942" t="str">
        <f>IF(F143=$S$16,$T$13,IF(ROUNDDOWN(F143,0)=$S$13,$U$13,$T$13))</f>
        <v>　レベル　4</v>
      </c>
      <c r="G147" s="946" t="s">
        <v>1490</v>
      </c>
      <c r="H147" s="947"/>
      <c r="I147" s="947"/>
      <c r="J147" s="947"/>
      <c r="K147" s="947"/>
      <c r="L147" s="1266"/>
      <c r="M147" s="947"/>
      <c r="N147" s="3425"/>
      <c r="O147" s="3426"/>
    </row>
    <row r="148" spans="2:18" ht="21" customHeight="1">
      <c r="B148" s="1">
        <v>5</v>
      </c>
      <c r="C148" s="1">
        <v>5</v>
      </c>
      <c r="D148" s="908"/>
      <c r="E148" s="1061"/>
      <c r="F148" s="953" t="str">
        <f>IF(F143=$S$16,$T$14,IF(ROUNDDOWN(F143,0)=$S$14,$U$14,$T$14))</f>
        <v>　レベル　5</v>
      </c>
      <c r="G148" s="957" t="s">
        <v>1491</v>
      </c>
      <c r="H148" s="958"/>
      <c r="I148" s="958"/>
      <c r="J148" s="958"/>
      <c r="K148" s="958"/>
      <c r="L148" s="1267"/>
      <c r="M148" s="958"/>
      <c r="N148" s="3427"/>
      <c r="O148" s="3428"/>
    </row>
    <row r="149" spans="2:18" ht="14.25" customHeight="1">
      <c r="B149" s="960">
        <v>0</v>
      </c>
      <c r="C149" s="960">
        <v>0</v>
      </c>
      <c r="D149" s="908"/>
      <c r="E149" s="1059"/>
      <c r="F149" s="1229"/>
      <c r="G149" s="1229"/>
      <c r="H149" s="1229"/>
      <c r="I149" s="1229"/>
      <c r="J149" s="1229"/>
      <c r="K149" s="1229"/>
      <c r="L149" s="1458"/>
      <c r="M149" s="1458"/>
      <c r="N149" s="1458"/>
      <c r="O149" s="1458"/>
    </row>
    <row r="150" spans="2:18" ht="15.5">
      <c r="D150" s="1326">
        <v>2.6</v>
      </c>
      <c r="E150" s="915" t="s">
        <v>1492</v>
      </c>
      <c r="F150" s="915"/>
      <c r="G150" s="1229"/>
      <c r="H150" s="1229"/>
      <c r="I150" s="1229"/>
      <c r="J150" s="1229"/>
      <c r="K150" s="1229"/>
      <c r="L150" s="1458"/>
      <c r="M150" s="1458"/>
      <c r="N150" s="1458"/>
      <c r="O150" s="1458"/>
    </row>
    <row r="151" spans="2:18" ht="14.5" thickBot="1">
      <c r="D151" s="1459"/>
      <c r="E151" s="1459"/>
      <c r="F151" s="1065"/>
      <c r="G151" s="924"/>
      <c r="H151" s="925"/>
      <c r="I151" s="926" t="s">
        <v>1364</v>
      </c>
      <c r="J151" s="927" t="e">
        <f>重み!M157</f>
        <v>#DIV/0!</v>
      </c>
      <c r="K151" s="1066"/>
      <c r="L151" s="1066"/>
      <c r="M151" s="1066"/>
      <c r="N151" s="1066"/>
      <c r="O151" s="936"/>
    </row>
    <row r="152" spans="2:18" ht="27" customHeight="1" thickBot="1">
      <c r="D152" s="908"/>
      <c r="E152" s="1061"/>
      <c r="F152" s="2051" t="e">
        <f>IF(J151=0,0,G160)</f>
        <v>#DIV/0!</v>
      </c>
      <c r="G152" s="934" t="s">
        <v>502</v>
      </c>
      <c r="H152" s="935"/>
      <c r="I152" s="935"/>
      <c r="J152" s="935"/>
      <c r="K152" s="935"/>
      <c r="L152" s="1264"/>
      <c r="M152" s="935"/>
      <c r="N152" s="935"/>
      <c r="O152" s="936"/>
    </row>
    <row r="153" spans="2:18" ht="21" customHeight="1">
      <c r="B153" s="1" t="s">
        <v>3052</v>
      </c>
      <c r="C153" s="1">
        <v>1</v>
      </c>
      <c r="D153" s="908"/>
      <c r="E153" s="1061"/>
      <c r="F153" s="937" t="e">
        <f>IF(F152=$S$16,$T$10,IF(ROUNDDOWN(F152,0)=$S$10,$U$10,$T$10))</f>
        <v>#DIV/0!</v>
      </c>
      <c r="G153" s="939" t="s">
        <v>2178</v>
      </c>
      <c r="H153" s="940"/>
      <c r="I153" s="940"/>
      <c r="J153" s="940"/>
      <c r="K153" s="940"/>
      <c r="L153" s="1265"/>
      <c r="M153" s="940"/>
      <c r="N153" s="940"/>
      <c r="O153" s="941"/>
    </row>
    <row r="154" spans="2:18" ht="21" customHeight="1">
      <c r="B154" s="1" t="s">
        <v>3052</v>
      </c>
      <c r="C154" s="1">
        <v>2</v>
      </c>
      <c r="D154" s="908"/>
      <c r="E154" s="1061"/>
      <c r="F154" s="942" t="e">
        <f>IF(F152=$S$16,$T$11,IF(ROUNDDOWN(F152,0)=$S$11,$U$11,$T$11))</f>
        <v>#DIV/0!</v>
      </c>
      <c r="G154" s="946" t="s">
        <v>2178</v>
      </c>
      <c r="H154" s="947"/>
      <c r="I154" s="947"/>
      <c r="J154" s="947"/>
      <c r="K154" s="947"/>
      <c r="L154" s="1266"/>
      <c r="M154" s="947"/>
      <c r="N154" s="947"/>
      <c r="O154" s="948"/>
    </row>
    <row r="155" spans="2:18" ht="21" customHeight="1">
      <c r="B155" s="1">
        <v>3</v>
      </c>
      <c r="C155" s="1">
        <v>3</v>
      </c>
      <c r="D155" s="908"/>
      <c r="E155" s="1061"/>
      <c r="F155" s="942" t="e">
        <f>IF(F152=$S$16,$T$12,IF(ROUNDDOWN(F152,0)=$S$12,$U$12,$T$12))</f>
        <v>#DIV/0!</v>
      </c>
      <c r="G155" s="946" t="s">
        <v>1493</v>
      </c>
      <c r="H155" s="947"/>
      <c r="I155" s="947"/>
      <c r="J155" s="947"/>
      <c r="K155" s="947"/>
      <c r="L155" s="1266"/>
      <c r="M155" s="947"/>
      <c r="N155" s="947"/>
      <c r="O155" s="948"/>
    </row>
    <row r="156" spans="2:18" ht="21" customHeight="1">
      <c r="B156" s="1">
        <v>4</v>
      </c>
      <c r="C156" s="1">
        <v>4</v>
      </c>
      <c r="D156" s="908"/>
      <c r="E156" s="1061"/>
      <c r="F156" s="942" t="e">
        <f>IF(F152=$S$16,$T$13,IF(ROUNDDOWN(F152,0)=$S$13,$U$13,$T$13))</f>
        <v>#DIV/0!</v>
      </c>
      <c r="G156" s="946" t="s">
        <v>1494</v>
      </c>
      <c r="H156" s="947"/>
      <c r="I156" s="947"/>
      <c r="J156" s="947"/>
      <c r="K156" s="947"/>
      <c r="L156" s="1266"/>
      <c r="M156" s="947"/>
      <c r="N156" s="947"/>
      <c r="O156" s="948"/>
    </row>
    <row r="157" spans="2:18" ht="21" customHeight="1" thickBot="1">
      <c r="B157" s="1">
        <v>5</v>
      </c>
      <c r="C157" s="1">
        <v>5</v>
      </c>
      <c r="D157" s="908"/>
      <c r="E157" s="1061"/>
      <c r="F157" s="953" t="e">
        <f>IF(F152=$S$16,$T$14,IF(ROUNDDOWN(F152,0)=$S$14,$U$14,$T$14))</f>
        <v>#DIV/0!</v>
      </c>
      <c r="G157" s="957" t="s">
        <v>1495</v>
      </c>
      <c r="H157" s="958"/>
      <c r="I157" s="958"/>
      <c r="J157" s="958"/>
      <c r="K157" s="958"/>
      <c r="L157" s="1267"/>
      <c r="M157" s="958"/>
      <c r="N157" s="958"/>
      <c r="O157" s="959"/>
    </row>
    <row r="158" spans="2:18" ht="16" thickBot="1">
      <c r="B158" s="960">
        <v>0</v>
      </c>
      <c r="C158" s="960">
        <v>0</v>
      </c>
      <c r="D158" s="908"/>
      <c r="E158" s="1059"/>
      <c r="F158" s="930">
        <v>0</v>
      </c>
      <c r="G158" s="1158" t="s">
        <v>2666</v>
      </c>
      <c r="H158" s="2777" t="s">
        <v>3339</v>
      </c>
      <c r="N158" s="916"/>
      <c r="O158" s="916"/>
    </row>
    <row r="159" spans="2:18" s="2417" customFormat="1" ht="16" thickBot="1">
      <c r="D159" s="908"/>
      <c r="E159" s="1059"/>
      <c r="F159" s="1229"/>
      <c r="G159" s="1234" t="s">
        <v>2678</v>
      </c>
      <c r="J159" s="1460" t="s">
        <v>480</v>
      </c>
      <c r="K159" s="1461">
        <f>COUNTIF(G161:G164,"○")</f>
        <v>0</v>
      </c>
      <c r="L159" s="1004" t="s">
        <v>2160</v>
      </c>
      <c r="M159" s="913"/>
      <c r="N159" s="916"/>
      <c r="O159" s="916"/>
      <c r="R159" s="2687"/>
    </row>
    <row r="160" spans="2:18" ht="16" thickBot="1">
      <c r="D160" s="908"/>
      <c r="E160" s="1059"/>
      <c r="F160" s="1229"/>
      <c r="G160" s="2051">
        <f>IF(H158=T4,F158,IF(COUNTIF(G161:G164,"○")&lt;1,3,IF(COUNTIF(G161:G164,"○")=1,4,IF(COUNTIF(G161:G164,"○")&gt;=2,5))))</f>
        <v>3</v>
      </c>
      <c r="H160" s="1338" t="s">
        <v>1748</v>
      </c>
      <c r="I160" s="2028"/>
      <c r="J160" s="2028"/>
      <c r="K160" s="2029"/>
      <c r="L160" s="2030"/>
      <c r="M160" s="2028"/>
      <c r="N160" s="2028"/>
      <c r="O160" s="1462"/>
    </row>
    <row r="161" spans="2:15" ht="15.5">
      <c r="D161" s="908"/>
      <c r="E161" s="1059"/>
      <c r="F161" s="1229"/>
      <c r="G161" s="1246" t="s">
        <v>2668</v>
      </c>
      <c r="H161" s="1262" t="s">
        <v>1496</v>
      </c>
      <c r="I161" s="2028"/>
      <c r="J161" s="2028"/>
      <c r="K161" s="2028"/>
      <c r="L161" s="2030"/>
      <c r="M161" s="2028"/>
      <c r="N161" s="2028"/>
      <c r="O161" s="2031"/>
    </row>
    <row r="162" spans="2:15" ht="15.5">
      <c r="D162" s="908"/>
      <c r="E162" s="1059"/>
      <c r="F162" s="1229"/>
      <c r="G162" s="1249"/>
      <c r="H162" s="1207" t="s">
        <v>212</v>
      </c>
      <c r="I162" s="2032"/>
      <c r="J162" s="2032"/>
      <c r="K162" s="2032"/>
      <c r="L162" s="2033"/>
      <c r="M162" s="2032"/>
      <c r="N162" s="2032"/>
      <c r="O162" s="2034"/>
    </row>
    <row r="163" spans="2:15" ht="15.5">
      <c r="D163" s="908"/>
      <c r="E163" s="1059"/>
      <c r="F163" s="1229"/>
      <c r="G163" s="2095"/>
      <c r="H163" s="2102" t="s">
        <v>67</v>
      </c>
      <c r="I163" s="2103"/>
      <c r="J163" s="2103"/>
      <c r="K163" s="2103"/>
      <c r="L163" s="2104"/>
      <c r="M163" s="2103"/>
      <c r="N163" s="2103"/>
      <c r="O163" s="2105"/>
    </row>
    <row r="164" spans="2:15" ht="16" thickBot="1">
      <c r="D164" s="908"/>
      <c r="E164" s="1059"/>
      <c r="F164" s="1229"/>
      <c r="G164" s="1355"/>
      <c r="H164" s="1177" t="s">
        <v>68</v>
      </c>
      <c r="I164" s="2035"/>
      <c r="J164" s="2035"/>
      <c r="K164" s="2035"/>
      <c r="L164" s="2036"/>
      <c r="M164" s="2035"/>
      <c r="N164" s="2035"/>
      <c r="O164" s="2037"/>
    </row>
    <row r="165" spans="2:15" ht="15.5">
      <c r="D165" s="908"/>
      <c r="E165" s="908"/>
      <c r="F165" s="908"/>
      <c r="G165" s="908"/>
      <c r="H165" s="908"/>
      <c r="I165" s="908"/>
      <c r="J165" s="908"/>
      <c r="K165" s="908"/>
      <c r="L165" s="1452"/>
      <c r="M165" s="908"/>
      <c r="N165" s="908"/>
      <c r="O165" s="908"/>
    </row>
    <row r="166" spans="2:15" s="2687" customFormat="1" ht="15.5" hidden="1">
      <c r="D166" s="1225"/>
      <c r="E166" s="1042"/>
      <c r="F166" s="1084" t="s">
        <v>3255</v>
      </c>
      <c r="G166" s="996"/>
      <c r="H166" s="1045"/>
      <c r="I166" s="1025"/>
      <c r="J166" s="999" t="e">
        <f>IF(OR(F168=0,J167=0),$R$3,"")</f>
        <v>#DIV/0!</v>
      </c>
      <c r="K166" s="1084" t="s">
        <v>3256</v>
      </c>
      <c r="L166" s="996"/>
      <c r="M166" s="1045"/>
      <c r="N166" s="1025"/>
      <c r="O166" s="999" t="e">
        <f>IF(OR(K168=0,O167=0),$R$3,"")</f>
        <v>#DIV/0!</v>
      </c>
    </row>
    <row r="167" spans="2:15" s="2687" customFormat="1" ht="16" hidden="1" thickBot="1">
      <c r="D167" s="908"/>
      <c r="E167" s="913"/>
      <c r="F167" s="923"/>
      <c r="G167" s="924"/>
      <c r="H167" s="925"/>
      <c r="I167" s="926" t="s">
        <v>1364</v>
      </c>
      <c r="J167" s="929" t="e">
        <f>重み!M159</f>
        <v>#DIV/0!</v>
      </c>
      <c r="K167" s="923"/>
      <c r="L167" s="924"/>
      <c r="M167" s="925"/>
      <c r="N167" s="926" t="s">
        <v>1364</v>
      </c>
      <c r="O167" s="929" t="e">
        <f>重み!M160</f>
        <v>#DIV/0!</v>
      </c>
    </row>
    <row r="168" spans="2:15" s="2687" customFormat="1" ht="26.25" hidden="1" customHeight="1" thickBot="1">
      <c r="B168" s="2688" t="s">
        <v>3281</v>
      </c>
      <c r="C168" s="2688" t="s">
        <v>3281</v>
      </c>
      <c r="D168" s="908"/>
      <c r="E168" s="913"/>
      <c r="F168" s="930">
        <v>5</v>
      </c>
      <c r="G168" s="1046" t="s">
        <v>41</v>
      </c>
      <c r="H168" s="935"/>
      <c r="I168" s="935"/>
      <c r="J168" s="936"/>
      <c r="K168" s="930">
        <v>4</v>
      </c>
      <c r="L168" s="1046" t="s">
        <v>41</v>
      </c>
      <c r="M168" s="936"/>
      <c r="N168" s="1046"/>
      <c r="O168" s="1051"/>
    </row>
    <row r="169" spans="2:15" s="2687" customFormat="1" ht="34.5" hidden="1" customHeight="1">
      <c r="B169" s="1">
        <v>1</v>
      </c>
      <c r="C169" s="1">
        <v>1</v>
      </c>
      <c r="D169" s="908"/>
      <c r="E169" s="913"/>
      <c r="F169" s="937" t="str">
        <f>IF(F168=$S$15,$T$10,IF(ROUNDDOWN(F168,0)=$S$10,$U$10,$T$10))</f>
        <v>　レベル　1</v>
      </c>
      <c r="G169" s="3460" t="s">
        <v>3250</v>
      </c>
      <c r="H169" s="3461"/>
      <c r="I169" s="3461"/>
      <c r="J169" s="3462"/>
      <c r="K169" s="937" t="str">
        <f>IF(K168=$S$15,$T$10,IF(ROUNDDOWN(K168,0)=$S$10,$U$10,$T$10))</f>
        <v>　レベル　1</v>
      </c>
      <c r="L169" s="3460" t="s">
        <v>3257</v>
      </c>
      <c r="M169" s="3461"/>
      <c r="N169" s="3461"/>
      <c r="O169" s="3462"/>
    </row>
    <row r="170" spans="2:15" s="2687" customFormat="1" ht="34.5" hidden="1" customHeight="1">
      <c r="B170" s="1">
        <v>2</v>
      </c>
      <c r="C170" s="1">
        <v>2</v>
      </c>
      <c r="D170" s="908"/>
      <c r="E170" s="913"/>
      <c r="F170" s="942" t="str">
        <f>IF(F168=$S$15,$T$11,IF(ROUNDDOWN(F168,0)=$S$11,$U$11,$T$11))</f>
        <v>　レベル　2</v>
      </c>
      <c r="G170" s="3182" t="s">
        <v>3251</v>
      </c>
      <c r="H170" s="3266"/>
      <c r="I170" s="3266"/>
      <c r="J170" s="3267"/>
      <c r="K170" s="942" t="str">
        <f>IF(K168=$S$15,$T$11,IF(ROUNDDOWN(K168,0)=$S$11,$U$11,$T$11))</f>
        <v>　レベル　2</v>
      </c>
      <c r="L170" s="3182" t="s">
        <v>3258</v>
      </c>
      <c r="M170" s="3266"/>
      <c r="N170" s="3266"/>
      <c r="O170" s="3267"/>
    </row>
    <row r="171" spans="2:15" s="2687" customFormat="1" ht="34.5" hidden="1" customHeight="1">
      <c r="B171" s="1">
        <v>3</v>
      </c>
      <c r="C171" s="1">
        <v>3</v>
      </c>
      <c r="D171" s="908"/>
      <c r="E171" s="913"/>
      <c r="F171" s="942" t="str">
        <f>IF(F168=$S$15,$T$12,IF(ROUNDDOWN(F168,0)=$S$12,$U$12,$T$12))</f>
        <v>　レベル　3</v>
      </c>
      <c r="G171" s="3182" t="s">
        <v>3252</v>
      </c>
      <c r="H171" s="3266"/>
      <c r="I171" s="3266"/>
      <c r="J171" s="3267"/>
      <c r="K171" s="942" t="str">
        <f>IF(K168=$S$15,$T$12,IF(ROUNDDOWN(K168,0)=$S$12,$U$12,$T$12))</f>
        <v>　レベル　3</v>
      </c>
      <c r="L171" s="3182" t="s">
        <v>3259</v>
      </c>
      <c r="M171" s="3266"/>
      <c r="N171" s="3266"/>
      <c r="O171" s="3267"/>
    </row>
    <row r="172" spans="2:15" s="2687" customFormat="1" ht="34.5" hidden="1" customHeight="1">
      <c r="B172" s="1">
        <v>4</v>
      </c>
      <c r="C172" s="1">
        <v>4</v>
      </c>
      <c r="D172" s="908"/>
      <c r="E172" s="913"/>
      <c r="F172" s="942" t="str">
        <f>IF(F168=$S$15,$T$13,IF(ROUNDDOWN(F168,0)=$S$13,$U$13,$T$13))</f>
        <v>　レベル　4</v>
      </c>
      <c r="G172" s="3182" t="s">
        <v>3253</v>
      </c>
      <c r="H172" s="3266"/>
      <c r="I172" s="3266"/>
      <c r="J172" s="3267"/>
      <c r="K172" s="942" t="str">
        <f>IF(K168=$S$15,$T$13,IF(ROUNDDOWN(K168,0)=$S$13,$U$13,$T$13))</f>
        <v>■レベル　4</v>
      </c>
      <c r="L172" s="3182" t="s">
        <v>3260</v>
      </c>
      <c r="M172" s="3266"/>
      <c r="N172" s="3266"/>
      <c r="O172" s="3267"/>
    </row>
    <row r="173" spans="2:15" s="2687" customFormat="1" ht="34.5" hidden="1" customHeight="1">
      <c r="B173" s="1">
        <v>5</v>
      </c>
      <c r="C173" s="1">
        <v>5</v>
      </c>
      <c r="D173" s="908"/>
      <c r="E173" s="913"/>
      <c r="F173" s="953" t="str">
        <f>IF(F168=$S$15,$T$14,IF(ROUNDDOWN(F168,0)=$S$14,$U$14,$T$14))</f>
        <v>■レベル　5</v>
      </c>
      <c r="G173" s="3173" t="s">
        <v>3254</v>
      </c>
      <c r="H173" s="3269"/>
      <c r="I173" s="3269"/>
      <c r="J173" s="3270"/>
      <c r="K173" s="953" t="str">
        <f>IF(K168=$S$15,$T$14,IF(ROUNDDOWN(K168,0)=$S$14,$U$14,$T$14))</f>
        <v>　レベル　5</v>
      </c>
      <c r="L173" s="3173" t="s">
        <v>3261</v>
      </c>
      <c r="M173" s="3269"/>
      <c r="N173" s="3269"/>
      <c r="O173" s="3270"/>
    </row>
    <row r="174" spans="2:15" s="2687" customFormat="1" ht="15.5" hidden="1">
      <c r="B174" s="960">
        <v>0</v>
      </c>
      <c r="C174" s="960">
        <v>0</v>
      </c>
      <c r="D174" s="908"/>
      <c r="E174" s="908"/>
      <c r="F174" s="908"/>
      <c r="G174" s="908"/>
      <c r="H174" s="908"/>
      <c r="I174" s="908"/>
      <c r="J174" s="908"/>
      <c r="K174" s="908"/>
      <c r="L174" s="1452"/>
      <c r="M174" s="908"/>
      <c r="N174" s="908"/>
      <c r="O174" s="908"/>
    </row>
    <row r="175" spans="2:15" s="2687" customFormat="1" ht="15.5" hidden="1">
      <c r="B175" s="1630"/>
      <c r="C175" s="1630"/>
      <c r="D175" s="908"/>
      <c r="E175" s="908"/>
      <c r="F175" s="1084" t="s">
        <v>3262</v>
      </c>
      <c r="G175" s="996"/>
      <c r="H175" s="1045"/>
      <c r="I175" s="1025"/>
      <c r="J175" s="999" t="e">
        <f>IF(OR(F177=0,J176=0),$R$3,"")</f>
        <v>#DIV/0!</v>
      </c>
      <c r="K175" s="1084" t="s">
        <v>3273</v>
      </c>
      <c r="L175" s="996"/>
      <c r="M175" s="1045"/>
      <c r="N175" s="1025"/>
      <c r="O175" s="999" t="e">
        <f>IF(OR(K177=0,O176=0),$R$3,"")</f>
        <v>#DIV/0!</v>
      </c>
    </row>
    <row r="176" spans="2:15" s="2687" customFormat="1" ht="16" hidden="1" thickBot="1">
      <c r="B176" s="1630"/>
      <c r="C176" s="1630"/>
      <c r="D176" s="908"/>
      <c r="E176" s="908"/>
      <c r="F176" s="923"/>
      <c r="G176" s="924"/>
      <c r="H176" s="925"/>
      <c r="I176" s="926" t="s">
        <v>1364</v>
      </c>
      <c r="J176" s="929" t="e">
        <f>重み!M161</f>
        <v>#DIV/0!</v>
      </c>
      <c r="K176" s="923"/>
      <c r="L176" s="924"/>
      <c r="M176" s="925"/>
      <c r="N176" s="926" t="s">
        <v>1364</v>
      </c>
      <c r="O176" s="929" t="e">
        <f>重み!M162</f>
        <v>#DIV/0!</v>
      </c>
    </row>
    <row r="177" spans="2:15" s="2687" customFormat="1" ht="16" hidden="1" thickBot="1">
      <c r="B177" s="2688" t="s">
        <v>3281</v>
      </c>
      <c r="C177" s="2688" t="s">
        <v>3281</v>
      </c>
      <c r="D177" s="908"/>
      <c r="E177" s="908"/>
      <c r="F177" s="930">
        <v>4</v>
      </c>
      <c r="G177" s="1046" t="s">
        <v>41</v>
      </c>
      <c r="H177" s="935"/>
      <c r="I177" s="935"/>
      <c r="J177" s="936"/>
      <c r="K177" s="930">
        <v>4</v>
      </c>
      <c r="L177" s="1046" t="s">
        <v>41</v>
      </c>
      <c r="M177" s="936"/>
      <c r="N177" s="1046"/>
      <c r="O177" s="1051"/>
    </row>
    <row r="178" spans="2:15" s="2687" customFormat="1" ht="32.25" hidden="1" customHeight="1">
      <c r="B178" s="1">
        <v>1</v>
      </c>
      <c r="C178" s="1">
        <v>1</v>
      </c>
      <c r="D178" s="908"/>
      <c r="E178" s="908"/>
      <c r="F178" s="937" t="str">
        <f>IF(F177=$S$15,$T$10,IF(ROUNDDOWN(F177,0)=$S$10,$U$10,$T$10))</f>
        <v>　レベル　1</v>
      </c>
      <c r="G178" s="3460" t="s">
        <v>3263</v>
      </c>
      <c r="H178" s="3461"/>
      <c r="I178" s="3461"/>
      <c r="J178" s="3462"/>
      <c r="K178" s="937" t="str">
        <f>IF(K177=$S$15,$T$10,IF(ROUNDDOWN(K177,0)=$S$10,$U$10,$T$10))</f>
        <v>　レベル　1</v>
      </c>
      <c r="L178" s="3460" t="s">
        <v>3268</v>
      </c>
      <c r="M178" s="3461"/>
      <c r="N178" s="3461"/>
      <c r="O178" s="3462"/>
    </row>
    <row r="179" spans="2:15" s="2687" customFormat="1" ht="32.25" hidden="1" customHeight="1">
      <c r="B179" s="1">
        <v>2</v>
      </c>
      <c r="C179" s="1">
        <v>2</v>
      </c>
      <c r="D179" s="908"/>
      <c r="E179" s="908"/>
      <c r="F179" s="942" t="str">
        <f>IF(F177=$S$15,$T$11,IF(ROUNDDOWN(F177,0)=$S$11,$U$11,$T$11))</f>
        <v>　レベル　2</v>
      </c>
      <c r="G179" s="3182" t="s">
        <v>3264</v>
      </c>
      <c r="H179" s="3266"/>
      <c r="I179" s="3266"/>
      <c r="J179" s="3267"/>
      <c r="K179" s="942" t="str">
        <f>IF(K177=$S$15,$T$11,IF(ROUNDDOWN(K177,0)=$S$11,$U$11,$T$11))</f>
        <v>　レベル　2</v>
      </c>
      <c r="L179" s="3182" t="s">
        <v>3269</v>
      </c>
      <c r="M179" s="3266"/>
      <c r="N179" s="3266"/>
      <c r="O179" s="3267"/>
    </row>
    <row r="180" spans="2:15" s="2687" customFormat="1" ht="32.25" hidden="1" customHeight="1">
      <c r="B180" s="1">
        <v>3</v>
      </c>
      <c r="C180" s="1">
        <v>3</v>
      </c>
      <c r="D180" s="908"/>
      <c r="E180" s="908"/>
      <c r="F180" s="942" t="str">
        <f>IF(F177=$S$15,$T$12,IF(ROUNDDOWN(F177,0)=$S$12,$U$12,$T$12))</f>
        <v>　レベル　3</v>
      </c>
      <c r="G180" s="3182" t="s">
        <v>3265</v>
      </c>
      <c r="H180" s="3266"/>
      <c r="I180" s="3266"/>
      <c r="J180" s="3267"/>
      <c r="K180" s="942" t="str">
        <f>IF(K177=$S$15,$T$12,IF(ROUNDDOWN(K177,0)=$S$12,$U$12,$T$12))</f>
        <v>　レベル　3</v>
      </c>
      <c r="L180" s="3182" t="s">
        <v>3270</v>
      </c>
      <c r="M180" s="3266"/>
      <c r="N180" s="3266"/>
      <c r="O180" s="3267"/>
    </row>
    <row r="181" spans="2:15" s="2687" customFormat="1" ht="32.25" hidden="1" customHeight="1">
      <c r="B181" s="1">
        <v>4</v>
      </c>
      <c r="C181" s="1">
        <v>4</v>
      </c>
      <c r="D181" s="908"/>
      <c r="E181" s="908"/>
      <c r="F181" s="942" t="str">
        <f>IF(F177=$S$15,$T$13,IF(ROUNDDOWN(F177,0)=$S$13,$U$13,$T$13))</f>
        <v>■レベル　4</v>
      </c>
      <c r="G181" s="3182" t="s">
        <v>3266</v>
      </c>
      <c r="H181" s="3266"/>
      <c r="I181" s="3266"/>
      <c r="J181" s="3267"/>
      <c r="K181" s="942" t="str">
        <f>IF(K177=$S$15,$T$13,IF(ROUNDDOWN(K177,0)=$S$13,$U$13,$T$13))</f>
        <v>■レベル　4</v>
      </c>
      <c r="L181" s="3182" t="s">
        <v>3271</v>
      </c>
      <c r="M181" s="3266"/>
      <c r="N181" s="3266"/>
      <c r="O181" s="3267"/>
    </row>
    <row r="182" spans="2:15" s="2687" customFormat="1" ht="32.25" hidden="1" customHeight="1">
      <c r="B182" s="1">
        <v>5</v>
      </c>
      <c r="C182" s="1">
        <v>5</v>
      </c>
      <c r="D182" s="908"/>
      <c r="E182" s="908"/>
      <c r="F182" s="953" t="str">
        <f>IF(F177=$S$15,$T$14,IF(ROUNDDOWN(F177,0)=$S$14,$U$14,$T$14))</f>
        <v>　レベル　5</v>
      </c>
      <c r="G182" s="3173" t="s">
        <v>3267</v>
      </c>
      <c r="H182" s="3269"/>
      <c r="I182" s="3269"/>
      <c r="J182" s="3270"/>
      <c r="K182" s="953" t="str">
        <f>IF(K177=$S$15,$T$14,IF(ROUNDDOWN(K177,0)=$S$14,$U$14,$T$14))</f>
        <v>　レベル　5</v>
      </c>
      <c r="L182" s="3173" t="s">
        <v>3272</v>
      </c>
      <c r="M182" s="3269"/>
      <c r="N182" s="3269"/>
      <c r="O182" s="3270"/>
    </row>
    <row r="183" spans="2:15" s="2687" customFormat="1" ht="15.5" hidden="1">
      <c r="B183" s="960">
        <v>0</v>
      </c>
      <c r="C183" s="960">
        <v>0</v>
      </c>
      <c r="D183" s="908"/>
      <c r="E183" s="908"/>
      <c r="F183" s="908"/>
      <c r="G183" s="908"/>
      <c r="H183" s="908"/>
      <c r="I183" s="908"/>
      <c r="J183" s="908"/>
      <c r="K183" s="908"/>
      <c r="L183" s="1452"/>
      <c r="M183" s="908"/>
      <c r="N183" s="908"/>
      <c r="O183" s="908"/>
    </row>
    <row r="184" spans="2:15" s="2687" customFormat="1" ht="15.5" hidden="1">
      <c r="B184" s="1630"/>
      <c r="C184" s="1630"/>
      <c r="D184" s="908"/>
      <c r="E184" s="908"/>
      <c r="F184" s="1084" t="s">
        <v>3274</v>
      </c>
      <c r="G184" s="996"/>
      <c r="H184" s="1045"/>
      <c r="I184" s="1025"/>
      <c r="J184" s="999" t="e">
        <f>IF(OR(F186=0,J185=0),$R$3,"")</f>
        <v>#DIV/0!</v>
      </c>
      <c r="K184" s="1084" t="s">
        <v>3275</v>
      </c>
      <c r="L184" s="996"/>
      <c r="M184" s="1045"/>
      <c r="N184" s="1025"/>
      <c r="O184" s="999" t="e">
        <f>IF(OR(K186=0,O185=0),$R$3,"")</f>
        <v>#DIV/0!</v>
      </c>
    </row>
    <row r="185" spans="2:15" s="2687" customFormat="1" ht="16" hidden="1" thickBot="1">
      <c r="B185" s="1630"/>
      <c r="C185" s="1630"/>
      <c r="D185" s="908"/>
      <c r="E185" s="908"/>
      <c r="F185" s="923"/>
      <c r="G185" s="924"/>
      <c r="H185" s="925"/>
      <c r="I185" s="926" t="s">
        <v>1364</v>
      </c>
      <c r="J185" s="929" t="e">
        <f>重み!M163</f>
        <v>#DIV/0!</v>
      </c>
      <c r="K185" s="923"/>
      <c r="L185" s="924"/>
      <c r="M185" s="925"/>
      <c r="N185" s="926" t="s">
        <v>1364</v>
      </c>
      <c r="O185" s="929" t="e">
        <f>重み!M164</f>
        <v>#DIV/0!</v>
      </c>
    </row>
    <row r="186" spans="2:15" s="2687" customFormat="1" ht="16" hidden="1" thickBot="1">
      <c r="B186" s="2688" t="s">
        <v>3281</v>
      </c>
      <c r="C186" s="2688" t="s">
        <v>3281</v>
      </c>
      <c r="D186" s="908"/>
      <c r="E186" s="908"/>
      <c r="F186" s="930">
        <f>IF(H192=$T$4,F192,IF(G204&lt;1,1,IF(G204=1,2,IF(G204=2,3,IF(G204=3,4,5)))))</f>
        <v>5</v>
      </c>
      <c r="G186" s="1046" t="s">
        <v>41</v>
      </c>
      <c r="H186" s="935"/>
      <c r="I186" s="935"/>
      <c r="J186" s="936"/>
      <c r="K186" s="930">
        <f>IF(M192=$T$4,K192,IF(L201&lt;1,1,IF(L201=1,3,IF(L201=2,4,5))))</f>
        <v>5</v>
      </c>
      <c r="L186" s="1046" t="s">
        <v>41</v>
      </c>
      <c r="M186" s="936"/>
      <c r="N186" s="1046"/>
      <c r="O186" s="1051"/>
    </row>
    <row r="187" spans="2:15" s="2687" customFormat="1" ht="15.5" hidden="1">
      <c r="B187" s="1">
        <v>1</v>
      </c>
      <c r="C187" s="1">
        <v>1</v>
      </c>
      <c r="D187" s="908"/>
      <c r="E187" s="908"/>
      <c r="F187" s="937" t="str">
        <f>IF(F186=$S$15,$T$10,IF(ROUNDDOWN(F186,0)=$S$10,$U$10,$T$10))</f>
        <v>　レベル　1</v>
      </c>
      <c r="G187" s="2683" t="s">
        <v>823</v>
      </c>
      <c r="H187" s="1227"/>
      <c r="I187" s="1227"/>
      <c r="J187" s="941"/>
      <c r="K187" s="937" t="str">
        <f>IF(K186=$S$15,$T$10,IF(ROUNDDOWN(K186,0)=$S$10,$U$10,$T$10))</f>
        <v>　レベル　1</v>
      </c>
      <c r="L187" s="2683" t="s">
        <v>823</v>
      </c>
      <c r="M187" s="1227"/>
      <c r="N187" s="1227"/>
      <c r="O187" s="941"/>
    </row>
    <row r="188" spans="2:15" s="2687" customFormat="1" ht="15.5" hidden="1">
      <c r="B188" s="1">
        <v>2</v>
      </c>
      <c r="C188" s="1" t="s">
        <v>228</v>
      </c>
      <c r="D188" s="908"/>
      <c r="E188" s="908"/>
      <c r="F188" s="942" t="str">
        <f>IF(F186=$S$15,$T$11,IF(ROUNDDOWN(F186,0)=$S$11,$U$11,$T$11))</f>
        <v>　レベル　2</v>
      </c>
      <c r="G188" s="2685" t="s">
        <v>3277</v>
      </c>
      <c r="H188" s="1086"/>
      <c r="I188" s="1086"/>
      <c r="J188" s="948"/>
      <c r="K188" s="942" t="str">
        <f>IF(K186=$S$15,$T$11,IF(ROUNDDOWN(K186,0)=$S$11,$U$11,$T$11))</f>
        <v>　レベル　2</v>
      </c>
      <c r="L188" s="2685" t="s">
        <v>2178</v>
      </c>
      <c r="M188" s="1086"/>
      <c r="N188" s="1086"/>
      <c r="O188" s="948"/>
    </row>
    <row r="189" spans="2:15" s="2687" customFormat="1" ht="15.5" hidden="1">
      <c r="B189" s="1">
        <v>3</v>
      </c>
      <c r="C189" s="1">
        <v>3</v>
      </c>
      <c r="D189" s="908"/>
      <c r="E189" s="908"/>
      <c r="F189" s="942" t="str">
        <f>IF(F186=$S$15,$T$12,IF(ROUNDDOWN(F186,0)=$S$12,$U$12,$T$12))</f>
        <v>　レベル　3</v>
      </c>
      <c r="G189" s="2685" t="s">
        <v>1812</v>
      </c>
      <c r="H189" s="1086"/>
      <c r="I189" s="1086"/>
      <c r="J189" s="948"/>
      <c r="K189" s="942" t="str">
        <f>IF(K186=$S$15,$T$12,IF(ROUNDDOWN(K186,0)=$S$12,$U$12,$T$12))</f>
        <v>　レベル　3</v>
      </c>
      <c r="L189" s="2685" t="s">
        <v>3277</v>
      </c>
      <c r="M189" s="1086"/>
      <c r="N189" s="1086"/>
      <c r="O189" s="948"/>
    </row>
    <row r="190" spans="2:15" s="2687" customFormat="1" ht="15.5" hidden="1">
      <c r="B190" s="1">
        <v>4</v>
      </c>
      <c r="C190" s="1">
        <v>4</v>
      </c>
      <c r="D190" s="908"/>
      <c r="E190" s="908"/>
      <c r="F190" s="942" t="str">
        <f>IF(F186=$S$15,$T$13,IF(ROUNDDOWN(F186,0)=$S$13,$U$13,$T$13))</f>
        <v>　レベル　4</v>
      </c>
      <c r="G190" s="2685" t="s">
        <v>3278</v>
      </c>
      <c r="H190" s="1086"/>
      <c r="I190" s="1086"/>
      <c r="J190" s="948"/>
      <c r="K190" s="942" t="str">
        <f>IF(K186=$S$15,$T$13,IF(ROUNDDOWN(K186,0)=$S$13,$U$13,$T$13))</f>
        <v>　レベル　4</v>
      </c>
      <c r="L190" s="2685" t="s">
        <v>1812</v>
      </c>
      <c r="M190" s="1086"/>
      <c r="N190" s="1086"/>
      <c r="O190" s="948"/>
    </row>
    <row r="191" spans="2:15" s="2687" customFormat="1" ht="16" hidden="1" thickBot="1">
      <c r="B191" s="1">
        <v>5</v>
      </c>
      <c r="C191" s="1">
        <v>5</v>
      </c>
      <c r="D191" s="908"/>
      <c r="E191" s="908"/>
      <c r="F191" s="953" t="str">
        <f>IF(F186=$S$15,$T$14,IF(ROUNDDOWN(F186,0)=$S$14,$U$14,$T$14))</f>
        <v>■レベル　5</v>
      </c>
      <c r="G191" s="2680" t="s">
        <v>3279</v>
      </c>
      <c r="H191" s="1079"/>
      <c r="I191" s="1079"/>
      <c r="J191" s="959"/>
      <c r="K191" s="953" t="str">
        <f>IF(K186=$S$15,$T$14,IF(ROUNDDOWN(K186,0)=$S$14,$U$14,$T$14))</f>
        <v>■レベル　5</v>
      </c>
      <c r="L191" s="2680" t="s">
        <v>3280</v>
      </c>
      <c r="M191" s="1079"/>
      <c r="N191" s="1079"/>
      <c r="O191" s="959"/>
    </row>
    <row r="192" spans="2:15" s="2687" customFormat="1" ht="16" hidden="1" thickBot="1">
      <c r="B192" s="960">
        <v>0</v>
      </c>
      <c r="C192" s="960">
        <v>0</v>
      </c>
      <c r="D192" s="908"/>
      <c r="E192" s="908"/>
      <c r="F192" s="930">
        <v>0</v>
      </c>
      <c r="G192" s="1158" t="s">
        <v>2666</v>
      </c>
      <c r="H192" s="2777" t="s">
        <v>3339</v>
      </c>
      <c r="I192" s="1236"/>
      <c r="J192" s="1235"/>
      <c r="K192" s="930">
        <v>0</v>
      </c>
      <c r="L192" s="1158" t="s">
        <v>2666</v>
      </c>
      <c r="M192" s="2777" t="s">
        <v>3339</v>
      </c>
      <c r="N192" s="1236"/>
      <c r="O192" s="1235"/>
    </row>
    <row r="193" spans="2:15" s="2687" customFormat="1" ht="15.5" hidden="1">
      <c r="D193" s="908"/>
      <c r="E193" s="908"/>
      <c r="F193" s="1234" t="s">
        <v>2678</v>
      </c>
      <c r="I193"/>
      <c r="J193"/>
      <c r="K193" s="1234" t="s">
        <v>2678</v>
      </c>
    </row>
    <row r="194" spans="2:15" s="2687" customFormat="1" ht="16" hidden="1" thickBot="1">
      <c r="D194" s="908"/>
      <c r="E194" s="908"/>
      <c r="F194" s="2396" t="s">
        <v>1170</v>
      </c>
      <c r="G194" s="1349" t="s">
        <v>3316</v>
      </c>
      <c r="H194" s="2736"/>
      <c r="I194" s="2736"/>
      <c r="J194" s="2737"/>
      <c r="K194" s="2396" t="s">
        <v>1170</v>
      </c>
      <c r="L194" s="1349" t="s">
        <v>3316</v>
      </c>
      <c r="M194" s="2736"/>
      <c r="N194" s="2736"/>
      <c r="O194" s="2737"/>
    </row>
    <row r="195" spans="2:15" s="2687" customFormat="1" ht="30" hidden="1" customHeight="1">
      <c r="D195" s="908"/>
      <c r="E195" s="908"/>
      <c r="F195" s="1246" t="s">
        <v>2671</v>
      </c>
      <c r="G195" s="1183" t="s">
        <v>3323</v>
      </c>
      <c r="H195" s="1227"/>
      <c r="I195" s="1227"/>
      <c r="J195" s="1227"/>
      <c r="K195" s="1246" t="s">
        <v>2671</v>
      </c>
      <c r="L195" s="1182" t="s">
        <v>3315</v>
      </c>
      <c r="M195" s="1227"/>
      <c r="N195" s="1227"/>
      <c r="O195" s="2735"/>
    </row>
    <row r="196" spans="2:15" s="2687" customFormat="1" ht="30" hidden="1" customHeight="1">
      <c r="D196" s="908"/>
      <c r="E196" s="908"/>
      <c r="F196" s="1249" t="s">
        <v>2671</v>
      </c>
      <c r="G196" s="1186" t="s">
        <v>3324</v>
      </c>
      <c r="H196" s="1086"/>
      <c r="I196" s="1086"/>
      <c r="J196" s="1086"/>
      <c r="K196" s="1249"/>
      <c r="L196" s="3233" t="s">
        <v>3312</v>
      </c>
      <c r="M196" s="3266"/>
      <c r="N196" s="3266"/>
      <c r="O196" s="3267"/>
    </row>
    <row r="197" spans="2:15" s="2687" customFormat="1" ht="30" hidden="1" customHeight="1">
      <c r="D197" s="908"/>
      <c r="E197" s="908"/>
      <c r="F197" s="1249" t="s">
        <v>2671</v>
      </c>
      <c r="G197" s="1186" t="s">
        <v>3325</v>
      </c>
      <c r="H197" s="1086"/>
      <c r="I197" s="1086"/>
      <c r="J197" s="1086"/>
      <c r="K197" s="1249" t="s">
        <v>2671</v>
      </c>
      <c r="L197" s="3233" t="s">
        <v>3313</v>
      </c>
      <c r="M197" s="3266"/>
      <c r="N197" s="3266"/>
      <c r="O197" s="3267"/>
    </row>
    <row r="198" spans="2:15" s="2687" customFormat="1" ht="30" hidden="1" customHeight="1">
      <c r="D198" s="908"/>
      <c r="E198" s="908"/>
      <c r="F198" s="1249" t="s">
        <v>2671</v>
      </c>
      <c r="G198" s="1186" t="s">
        <v>3326</v>
      </c>
      <c r="H198" s="1086"/>
      <c r="I198" s="1086"/>
      <c r="J198" s="1086"/>
      <c r="K198" s="1249" t="s">
        <v>2671</v>
      </c>
      <c r="L198" s="3233" t="s">
        <v>3314</v>
      </c>
      <c r="M198" s="3266"/>
      <c r="N198" s="3266"/>
      <c r="O198" s="3267"/>
    </row>
    <row r="199" spans="2:15" s="2687" customFormat="1" ht="15.5" hidden="1">
      <c r="D199" s="908"/>
      <c r="E199" s="908"/>
      <c r="F199" s="1249"/>
      <c r="G199" s="1186" t="s">
        <v>3327</v>
      </c>
      <c r="H199" s="1086"/>
      <c r="I199" s="1086"/>
      <c r="J199" s="1086"/>
      <c r="K199" s="3447"/>
      <c r="L199" s="2738" t="s">
        <v>3322</v>
      </c>
      <c r="M199" s="2739"/>
      <c r="N199" s="2739"/>
      <c r="O199" s="2741"/>
    </row>
    <row r="200" spans="2:15" s="2687" customFormat="1" ht="23.25" hidden="1" customHeight="1" thickBot="1">
      <c r="D200" s="908"/>
      <c r="E200" s="908"/>
      <c r="F200" s="1249"/>
      <c r="G200" s="1186" t="s">
        <v>3328</v>
      </c>
      <c r="H200" s="1086"/>
      <c r="I200" s="1086"/>
      <c r="J200" s="1086"/>
      <c r="K200" s="3448"/>
      <c r="L200" s="3444"/>
      <c r="M200" s="3445"/>
      <c r="N200" s="3445"/>
      <c r="O200" s="3446"/>
    </row>
    <row r="201" spans="2:15" s="2687" customFormat="1" ht="15.5" hidden="1">
      <c r="B201" s="1630"/>
      <c r="C201" s="1630"/>
      <c r="D201" s="908"/>
      <c r="E201" s="908"/>
      <c r="F201" s="2095"/>
      <c r="G201" s="1186" t="s">
        <v>3329</v>
      </c>
      <c r="H201" s="1086"/>
      <c r="I201" s="1086"/>
      <c r="J201" s="952"/>
      <c r="K201" s="2098" t="s">
        <v>39</v>
      </c>
      <c r="L201" s="2097">
        <f>COUNTIF(K195:K200,$S$3)</f>
        <v>3</v>
      </c>
      <c r="M201" s="1245"/>
      <c r="N201" s="1245"/>
      <c r="O201" s="1245"/>
    </row>
    <row r="202" spans="2:15" s="2687" customFormat="1" ht="16.5" hidden="1" customHeight="1">
      <c r="B202" s="1630"/>
      <c r="C202" s="1630"/>
      <c r="D202" s="908"/>
      <c r="E202" s="908"/>
      <c r="F202" s="3447"/>
      <c r="G202" s="2738" t="s">
        <v>3375</v>
      </c>
      <c r="H202" s="2739"/>
      <c r="I202" s="2739"/>
      <c r="J202" s="2741"/>
    </row>
    <row r="203" spans="2:15" s="2687" customFormat="1" ht="30" hidden="1" customHeight="1" thickBot="1">
      <c r="B203" s="1630"/>
      <c r="C203" s="1630"/>
      <c r="D203" s="908"/>
      <c r="E203" s="908"/>
      <c r="F203" s="3448"/>
      <c r="G203" s="3444"/>
      <c r="H203" s="3445"/>
      <c r="I203" s="3445"/>
      <c r="J203" s="3446"/>
    </row>
    <row r="204" spans="2:15" s="2687" customFormat="1" ht="15.5" hidden="1">
      <c r="B204" s="1630"/>
      <c r="C204" s="1630"/>
      <c r="D204" s="908"/>
      <c r="E204" s="908"/>
      <c r="F204" s="2098" t="s">
        <v>39</v>
      </c>
      <c r="G204" s="2097">
        <f>COUNTIF(F195:F203,$S$3)</f>
        <v>4</v>
      </c>
      <c r="H204" s="1245"/>
      <c r="I204" s="1245"/>
      <c r="J204" s="1245"/>
    </row>
    <row r="205" spans="2:15" s="2687" customFormat="1" ht="15.5" hidden="1">
      <c r="B205" s="1630"/>
      <c r="C205" s="1630"/>
      <c r="D205" s="908"/>
      <c r="E205" s="908"/>
      <c r="F205" s="908"/>
      <c r="G205" s="908"/>
      <c r="H205" s="908"/>
      <c r="I205" s="908"/>
      <c r="J205" s="908"/>
      <c r="K205" s="908"/>
      <c r="L205" s="1452"/>
      <c r="M205" s="908"/>
      <c r="N205" s="908"/>
      <c r="O205" s="908"/>
    </row>
    <row r="206" spans="2:15" s="2687" customFormat="1" ht="15.5" hidden="1">
      <c r="B206" s="1630"/>
      <c r="C206" s="1630"/>
      <c r="D206" s="1326">
        <v>2.7</v>
      </c>
      <c r="E206" s="915" t="s">
        <v>3276</v>
      </c>
      <c r="F206" s="915"/>
      <c r="G206" s="1418"/>
      <c r="H206" s="1419"/>
      <c r="I206" s="1419"/>
      <c r="J206" s="999" t="e">
        <f>IF(OR(F208=0,J207=0),$R$3,"")</f>
        <v>#DIV/0!</v>
      </c>
      <c r="K206" s="1420"/>
      <c r="L206" s="1421"/>
      <c r="M206" s="912"/>
      <c r="N206" s="912"/>
      <c r="O206" s="912"/>
    </row>
    <row r="207" spans="2:15" s="2687" customFormat="1" ht="14.5" hidden="1" thickBot="1">
      <c r="B207" s="1630"/>
      <c r="C207" s="1630"/>
      <c r="D207" s="1391"/>
      <c r="E207" s="1391"/>
      <c r="F207" s="1065"/>
      <c r="G207" s="924"/>
      <c r="H207" s="925"/>
      <c r="I207" s="926" t="s">
        <v>1364</v>
      </c>
      <c r="J207" s="927" t="e">
        <f>重み!M165</f>
        <v>#DIV/0!</v>
      </c>
      <c r="K207" s="1066"/>
      <c r="L207" s="1066"/>
      <c r="M207" s="1066"/>
      <c r="N207" s="1066"/>
      <c r="O207" s="936"/>
    </row>
    <row r="208" spans="2:15" s="2687" customFormat="1" ht="16" hidden="1" thickBot="1">
      <c r="B208" s="2688" t="s">
        <v>3281</v>
      </c>
      <c r="D208" s="908"/>
      <c r="E208" s="1061"/>
      <c r="F208" s="930">
        <f>IF(H214=$T$4,F214,IF(H223&lt;1,2,IF(H223=1,3,IF(H223=2,4,5))))</f>
        <v>5</v>
      </c>
      <c r="G208" s="934" t="s">
        <v>502</v>
      </c>
      <c r="H208" s="935"/>
      <c r="I208" s="935"/>
      <c r="J208" s="935"/>
      <c r="K208" s="935"/>
      <c r="L208" s="1264"/>
      <c r="M208" s="935"/>
      <c r="N208" s="935"/>
      <c r="O208" s="936"/>
    </row>
    <row r="209" spans="2:15" s="2687" customFormat="1" ht="15.5" hidden="1">
      <c r="B209" s="1">
        <v>1</v>
      </c>
      <c r="C209" s="1">
        <v>1</v>
      </c>
      <c r="D209" s="908"/>
      <c r="E209" s="1061"/>
      <c r="F209" s="937" t="str">
        <f>IF(F208=$S$16,$T$10,IF(ROUNDDOWN(F208,0)=$S$10,$U$10,$T$10))</f>
        <v>　レベル　1</v>
      </c>
      <c r="G209" s="2683" t="s">
        <v>2178</v>
      </c>
      <c r="H209" s="2682"/>
      <c r="I209" s="2682"/>
      <c r="J209" s="2682"/>
      <c r="K209" s="2682"/>
      <c r="L209" s="1265"/>
      <c r="M209" s="2682"/>
      <c r="N209" s="2682"/>
      <c r="O209" s="941"/>
    </row>
    <row r="210" spans="2:15" s="2687" customFormat="1" ht="15.5" hidden="1">
      <c r="B210" s="1">
        <v>2</v>
      </c>
      <c r="C210" s="1">
        <v>2</v>
      </c>
      <c r="D210" s="908"/>
      <c r="E210" s="1061"/>
      <c r="F210" s="942" t="str">
        <f>IF(F208=$S$16,$T$11,IF(ROUNDDOWN(F208,0)=$S$11,$U$11,$T$11))</f>
        <v>　レベル　2</v>
      </c>
      <c r="G210" s="2685" t="s">
        <v>823</v>
      </c>
      <c r="H210" s="2684"/>
      <c r="I210" s="2684"/>
      <c r="J210" s="2684"/>
      <c r="K210" s="2684"/>
      <c r="L210" s="1266"/>
      <c r="M210" s="2684"/>
      <c r="N210" s="2684"/>
      <c r="O210" s="948"/>
    </row>
    <row r="211" spans="2:15" s="2687" customFormat="1" ht="15.5" hidden="1">
      <c r="B211" s="1">
        <v>3</v>
      </c>
      <c r="C211" s="1">
        <v>3</v>
      </c>
      <c r="D211" s="908"/>
      <c r="E211" s="1061"/>
      <c r="F211" s="942" t="str">
        <f>IF(F208=$S$16,$T$12,IF(ROUNDDOWN(F208,0)=$S$12,$U$12,$T$12))</f>
        <v>　レベル　3</v>
      </c>
      <c r="G211" s="2685" t="s">
        <v>3277</v>
      </c>
      <c r="H211" s="2684"/>
      <c r="I211" s="2684"/>
      <c r="J211" s="2684"/>
      <c r="K211" s="2684"/>
      <c r="L211" s="1266"/>
      <c r="M211" s="2684"/>
      <c r="N211" s="2684"/>
      <c r="O211" s="948"/>
    </row>
    <row r="212" spans="2:15" s="2687" customFormat="1" ht="15.5" hidden="1">
      <c r="B212" s="1">
        <v>4</v>
      </c>
      <c r="C212" s="1">
        <v>4</v>
      </c>
      <c r="D212" s="908"/>
      <c r="E212" s="1061"/>
      <c r="F212" s="942" t="str">
        <f>IF(F208=$S$16,$T$13,IF(ROUNDDOWN(F208,0)=$S$13,$U$13,$T$13))</f>
        <v>　レベル　4</v>
      </c>
      <c r="G212" s="2685" t="s">
        <v>1812</v>
      </c>
      <c r="H212" s="2684"/>
      <c r="I212" s="2684"/>
      <c r="J212" s="2684"/>
      <c r="K212" s="2684"/>
      <c r="L212" s="1266"/>
      <c r="M212" s="2684"/>
      <c r="N212" s="2684"/>
      <c r="O212" s="948"/>
    </row>
    <row r="213" spans="2:15" s="2687" customFormat="1" ht="16" hidden="1" thickBot="1">
      <c r="B213" s="1">
        <v>5</v>
      </c>
      <c r="C213" s="1">
        <v>5</v>
      </c>
      <c r="D213" s="908"/>
      <c r="E213" s="1061"/>
      <c r="F213" s="953" t="str">
        <f>IF(F208=$S$16,$T$14,IF(ROUNDDOWN(F208,0)=$S$14,$U$14,$T$14))</f>
        <v>■レベル　5</v>
      </c>
      <c r="G213" s="2680" t="s">
        <v>3280</v>
      </c>
      <c r="H213" s="2681"/>
      <c r="I213" s="2681"/>
      <c r="J213" s="2681"/>
      <c r="K213" s="2681"/>
      <c r="L213" s="1267"/>
      <c r="M213" s="2681"/>
      <c r="N213" s="2681"/>
      <c r="O213" s="959"/>
    </row>
    <row r="214" spans="2:15" s="2687" customFormat="1" ht="16" hidden="1" thickBot="1">
      <c r="B214" s="960">
        <v>0</v>
      </c>
      <c r="C214" s="960">
        <v>0</v>
      </c>
      <c r="D214" s="1326"/>
      <c r="E214" s="915"/>
      <c r="F214" s="930">
        <v>0</v>
      </c>
      <c r="G214" s="1158" t="s">
        <v>2666</v>
      </c>
      <c r="H214" s="2777" t="s">
        <v>3339</v>
      </c>
      <c r="J214" s="1235"/>
      <c r="K214" s="916"/>
      <c r="L214" s="1390"/>
      <c r="M214" s="916"/>
      <c r="N214" s="916"/>
      <c r="O214" s="916"/>
    </row>
    <row r="215" spans="2:15" s="2687" customFormat="1" ht="15.5" hidden="1">
      <c r="D215" s="908"/>
      <c r="E215" s="908"/>
      <c r="G215" s="1234" t="s">
        <v>2678</v>
      </c>
      <c r="K215" s="908"/>
      <c r="L215" s="1452"/>
      <c r="M215" s="908"/>
      <c r="N215" s="908"/>
      <c r="O215" s="908"/>
    </row>
    <row r="216" spans="2:15" s="2687" customFormat="1" ht="16" hidden="1" thickBot="1">
      <c r="D216" s="908"/>
      <c r="E216" s="908"/>
      <c r="G216" s="2396" t="s">
        <v>1170</v>
      </c>
      <c r="H216" s="1349" t="s">
        <v>3316</v>
      </c>
      <c r="I216" s="2736"/>
      <c r="J216" s="2736"/>
      <c r="K216" s="2736"/>
      <c r="L216" s="2736"/>
      <c r="M216" s="2736"/>
      <c r="N216" s="2736"/>
      <c r="O216" s="2737"/>
    </row>
    <row r="217" spans="2:15" s="2687" customFormat="1" ht="15.5" hidden="1">
      <c r="D217" s="908"/>
      <c r="E217" s="908"/>
      <c r="G217" s="1246" t="s">
        <v>2671</v>
      </c>
      <c r="H217" s="1183" t="s">
        <v>3317</v>
      </c>
      <c r="I217" s="1227"/>
      <c r="J217" s="1227"/>
      <c r="K217" s="1227"/>
      <c r="L217" s="1227"/>
      <c r="M217" s="1227"/>
      <c r="N217" s="1227"/>
      <c r="O217" s="2735"/>
    </row>
    <row r="218" spans="2:15" s="2687" customFormat="1" ht="15.5" hidden="1">
      <c r="D218" s="908"/>
      <c r="E218" s="908"/>
      <c r="G218" s="1249" t="s">
        <v>2671</v>
      </c>
      <c r="H218" s="1186" t="s">
        <v>3318</v>
      </c>
      <c r="I218" s="1086"/>
      <c r="J218" s="1086"/>
      <c r="K218" s="1086"/>
      <c r="L218" s="1086"/>
      <c r="M218" s="1086"/>
      <c r="N218" s="1086"/>
      <c r="O218" s="952"/>
    </row>
    <row r="219" spans="2:15" s="2687" customFormat="1" ht="15.5" hidden="1">
      <c r="D219" s="908"/>
      <c r="E219" s="908"/>
      <c r="G219" s="1249"/>
      <c r="H219" s="1186" t="s">
        <v>3319</v>
      </c>
      <c r="I219" s="1086"/>
      <c r="J219" s="1086"/>
      <c r="K219" s="1086"/>
      <c r="L219" s="1086"/>
      <c r="M219" s="1086"/>
      <c r="N219" s="1086"/>
      <c r="O219" s="952"/>
    </row>
    <row r="220" spans="2:15" s="2687" customFormat="1" ht="15.5" hidden="1">
      <c r="D220" s="908"/>
      <c r="E220" s="908"/>
      <c r="G220" s="2095"/>
      <c r="H220" s="1186" t="s">
        <v>3320</v>
      </c>
      <c r="I220" s="1086"/>
      <c r="J220" s="1086"/>
      <c r="K220" s="1086"/>
      <c r="L220" s="1086"/>
      <c r="M220" s="1086"/>
      <c r="N220" s="1086"/>
      <c r="O220" s="952"/>
    </row>
    <row r="221" spans="2:15" s="2687" customFormat="1" ht="15.5" hidden="1">
      <c r="D221" s="908"/>
      <c r="E221" s="908"/>
      <c r="G221" s="3447" t="s">
        <v>2671</v>
      </c>
      <c r="H221" s="2740" t="s">
        <v>3321</v>
      </c>
      <c r="I221" s="2739"/>
      <c r="J221" s="2739"/>
      <c r="K221" s="2739"/>
      <c r="L221" s="2739"/>
      <c r="M221" s="2739"/>
      <c r="N221" s="2739"/>
      <c r="O221" s="2741"/>
    </row>
    <row r="222" spans="2:15" s="2687" customFormat="1" ht="16" hidden="1" thickBot="1">
      <c r="D222" s="908"/>
      <c r="E222" s="908"/>
      <c r="G222" s="3448"/>
      <c r="H222" s="3452"/>
      <c r="I222" s="3453"/>
      <c r="J222" s="3453"/>
      <c r="K222" s="3453"/>
      <c r="L222" s="3453"/>
      <c r="M222" s="3453"/>
      <c r="N222" s="3453"/>
      <c r="O222" s="3454"/>
    </row>
    <row r="223" spans="2:15" s="2687" customFormat="1" ht="15.5" hidden="1">
      <c r="D223" s="908"/>
      <c r="E223" s="908"/>
      <c r="G223" s="2098" t="s">
        <v>39</v>
      </c>
      <c r="H223" s="2097">
        <f>COUNTIF(G217:G221,$S$3)</f>
        <v>3</v>
      </c>
      <c r="I223" s="1245"/>
      <c r="J223" s="1245"/>
      <c r="K223" s="1245"/>
      <c r="L223" s="1245"/>
      <c r="M223" s="1245"/>
      <c r="N223" s="1245"/>
      <c r="O223" s="1245"/>
    </row>
    <row r="224" spans="2:15" s="2687" customFormat="1" ht="15.5">
      <c r="B224" s="1630"/>
      <c r="C224" s="1630"/>
      <c r="D224" s="908"/>
      <c r="E224" s="908"/>
      <c r="F224" s="908"/>
      <c r="G224" s="908"/>
      <c r="H224" s="908"/>
      <c r="I224" s="908"/>
      <c r="J224" s="908"/>
      <c r="K224" s="908"/>
      <c r="L224" s="1452"/>
      <c r="M224" s="908"/>
      <c r="N224" s="908"/>
      <c r="O224" s="908"/>
    </row>
    <row r="225" spans="2:18" ht="15.5">
      <c r="D225" s="908">
        <v>3</v>
      </c>
      <c r="E225" s="1042" t="s">
        <v>1288</v>
      </c>
      <c r="F225" s="908"/>
      <c r="G225" s="908"/>
      <c r="H225" s="908"/>
      <c r="I225" s="908"/>
      <c r="J225" s="908"/>
      <c r="K225" s="908"/>
      <c r="L225" s="1452"/>
      <c r="M225" s="908"/>
      <c r="N225" s="908"/>
      <c r="O225" s="908"/>
    </row>
    <row r="226" spans="2:18" ht="15.5">
      <c r="D226" s="1326">
        <v>3.1</v>
      </c>
      <c r="E226" s="915" t="s">
        <v>1289</v>
      </c>
      <c r="F226" s="915"/>
      <c r="G226" s="908"/>
      <c r="H226" s="908"/>
      <c r="I226" s="908"/>
      <c r="J226" s="999" t="e">
        <f>IF(OR(F228=0,J227=0),$R$3,"")</f>
        <v>#DIV/0!</v>
      </c>
      <c r="K226" s="908"/>
      <c r="L226" s="1452"/>
      <c r="M226" s="908"/>
      <c r="N226" s="908"/>
      <c r="O226" s="908"/>
    </row>
    <row r="227" spans="2:18" ht="13.5" customHeight="1" thickBot="1">
      <c r="D227" s="1391"/>
      <c r="E227" s="1391"/>
      <c r="F227" s="1065"/>
      <c r="G227" s="924"/>
      <c r="H227" s="925"/>
      <c r="I227" s="926" t="s">
        <v>1364</v>
      </c>
      <c r="J227" s="927" t="e">
        <f>重み!M167</f>
        <v>#DIV/0!</v>
      </c>
      <c r="K227" s="1066"/>
      <c r="L227" s="1066"/>
      <c r="M227" s="1066"/>
      <c r="N227" s="1066"/>
      <c r="O227" s="936"/>
    </row>
    <row r="228" spans="2:18" ht="27" customHeight="1" thickBot="1">
      <c r="D228" s="908"/>
      <c r="E228" s="1061"/>
      <c r="F228" s="2051">
        <f>IF(H234=T4,F234,IF(K235=0,3,IF(K235=1,4,IF(K235=2,4,IF(K235=3,4,IF(K235&gt;=4,5))))))</f>
        <v>3</v>
      </c>
      <c r="G228" s="934" t="s">
        <v>502</v>
      </c>
      <c r="H228" s="935"/>
      <c r="I228" s="935"/>
      <c r="J228" s="935"/>
      <c r="K228" s="935"/>
      <c r="L228" s="1264"/>
      <c r="M228" s="935"/>
      <c r="N228" s="935"/>
      <c r="O228" s="936"/>
    </row>
    <row r="229" spans="2:18" ht="21" customHeight="1">
      <c r="B229" s="1" t="s">
        <v>3052</v>
      </c>
      <c r="C229" s="1">
        <v>1</v>
      </c>
      <c r="D229" s="908"/>
      <c r="E229" s="1061"/>
      <c r="F229" s="937" t="str">
        <f>IF(F228=$S$16,$T$10,IF(ROUNDDOWN(F228,0)=$S$10,$U$10,$T$10))</f>
        <v>　レベル　1</v>
      </c>
      <c r="G229" s="939" t="s">
        <v>2178</v>
      </c>
      <c r="H229" s="940"/>
      <c r="I229" s="940"/>
      <c r="J229" s="940"/>
      <c r="K229" s="940"/>
      <c r="L229" s="1265"/>
      <c r="M229" s="940"/>
      <c r="N229" s="940"/>
      <c r="O229" s="941"/>
    </row>
    <row r="230" spans="2:18" ht="21" customHeight="1">
      <c r="B230" s="1" t="s">
        <v>3052</v>
      </c>
      <c r="C230" s="1">
        <v>2</v>
      </c>
      <c r="D230" s="908"/>
      <c r="E230" s="1061"/>
      <c r="F230" s="942" t="str">
        <f>IF(F228=$S$16,$T$11,IF(ROUNDDOWN(F228,0)=$S$11,$U$11,$T$11))</f>
        <v>　レベル　2</v>
      </c>
      <c r="G230" s="946" t="s">
        <v>2178</v>
      </c>
      <c r="H230" s="947"/>
      <c r="I230" s="947"/>
      <c r="J230" s="947"/>
      <c r="K230" s="947"/>
      <c r="L230" s="1266"/>
      <c r="M230" s="947"/>
      <c r="N230" s="947"/>
      <c r="O230" s="948"/>
    </row>
    <row r="231" spans="2:18" ht="21" customHeight="1">
      <c r="B231" s="1">
        <v>3</v>
      </c>
      <c r="C231" s="1">
        <v>3</v>
      </c>
      <c r="D231" s="908"/>
      <c r="E231" s="1061"/>
      <c r="F231" s="942" t="str">
        <f>IF(F228=$S$16,$T$12,IF(ROUNDDOWN(F228,0)=$S$12,$U$12,$T$12))</f>
        <v>■レベル　3</v>
      </c>
      <c r="G231" s="946" t="s">
        <v>213</v>
      </c>
      <c r="H231" s="947"/>
      <c r="I231" s="947"/>
      <c r="J231" s="947"/>
      <c r="K231" s="947"/>
      <c r="L231" s="1266"/>
      <c r="M231" s="947"/>
      <c r="N231" s="947"/>
      <c r="O231" s="948"/>
    </row>
    <row r="232" spans="2:18" ht="21" customHeight="1">
      <c r="B232" s="1">
        <v>4</v>
      </c>
      <c r="C232" s="1">
        <v>4</v>
      </c>
      <c r="D232" s="908"/>
      <c r="E232" s="1061"/>
      <c r="F232" s="942" t="str">
        <f>IF(F228=$S$16,$T$13,IF(ROUNDDOWN(F228,0)=$S$13,$U$13,$T$13))</f>
        <v>　レベル　4</v>
      </c>
      <c r="G232" s="946" t="s">
        <v>214</v>
      </c>
      <c r="H232" s="947"/>
      <c r="I232" s="947"/>
      <c r="J232" s="947"/>
      <c r="K232" s="947"/>
      <c r="L232" s="1266"/>
      <c r="M232" s="947"/>
      <c r="N232" s="947"/>
      <c r="O232" s="948"/>
    </row>
    <row r="233" spans="2:18" ht="21" customHeight="1" thickBot="1">
      <c r="B233" s="1">
        <v>5</v>
      </c>
      <c r="C233" s="1">
        <v>5</v>
      </c>
      <c r="D233" s="908"/>
      <c r="E233" s="1061"/>
      <c r="F233" s="953" t="str">
        <f>IF(F228=$S$16,$T$14,IF(ROUNDDOWN(F228,0)=$S$14,$U$14,$T$14))</f>
        <v>　レベル　5</v>
      </c>
      <c r="G233" s="957" t="s">
        <v>215</v>
      </c>
      <c r="H233" s="958"/>
      <c r="I233" s="958"/>
      <c r="J233" s="958"/>
      <c r="K233" s="958"/>
      <c r="L233" s="1267"/>
      <c r="M233" s="958"/>
      <c r="N233" s="958"/>
      <c r="O233" s="959"/>
    </row>
    <row r="234" spans="2:18" s="2417" customFormat="1" ht="19.5" customHeight="1" thickBot="1">
      <c r="B234" s="960">
        <v>0</v>
      </c>
      <c r="C234" s="960">
        <v>0</v>
      </c>
      <c r="D234" s="908"/>
      <c r="E234" s="908"/>
      <c r="F234" s="930">
        <v>0</v>
      </c>
      <c r="G234" s="1158" t="s">
        <v>2666</v>
      </c>
      <c r="H234" s="2777" t="s">
        <v>3339</v>
      </c>
      <c r="J234" s="908"/>
      <c r="K234" s="908"/>
      <c r="L234" s="908"/>
      <c r="M234" s="908"/>
      <c r="N234" s="908"/>
      <c r="O234" s="908"/>
      <c r="R234" s="2687"/>
    </row>
    <row r="235" spans="2:18" ht="21" customHeight="1" thickBot="1">
      <c r="D235" s="908"/>
      <c r="E235" s="909"/>
      <c r="F235" s="1285"/>
      <c r="G235" s="1463" t="s">
        <v>216</v>
      </c>
      <c r="H235" s="472"/>
      <c r="I235" s="472"/>
      <c r="J235" s="1460" t="s">
        <v>480</v>
      </c>
      <c r="K235" s="1461">
        <f>COUNTIF(G238:G257,"無")</f>
        <v>0</v>
      </c>
      <c r="L235" s="1038" t="s">
        <v>2160</v>
      </c>
      <c r="M235" s="909"/>
      <c r="N235" s="909"/>
      <c r="O235" s="909"/>
    </row>
    <row r="236" spans="2:18" ht="15.5">
      <c r="D236" s="908"/>
      <c r="E236" s="909"/>
      <c r="F236" s="1464"/>
      <c r="G236" s="3463" t="s">
        <v>217</v>
      </c>
      <c r="H236" s="1411" t="s">
        <v>218</v>
      </c>
      <c r="I236" s="1465"/>
      <c r="J236" s="1411" t="s">
        <v>2764</v>
      </c>
      <c r="K236" s="1466"/>
      <c r="L236" s="1467"/>
      <c r="M236" s="904"/>
      <c r="N236" s="1233"/>
      <c r="O236" s="1233"/>
    </row>
    <row r="237" spans="2:18" ht="11.25" customHeight="1">
      <c r="D237" s="908"/>
      <c r="E237" s="909"/>
      <c r="F237" s="1468"/>
      <c r="G237" s="3464"/>
      <c r="H237" s="1356"/>
      <c r="I237" s="1469"/>
      <c r="J237" s="1470"/>
      <c r="K237" s="1471"/>
      <c r="L237" s="1472"/>
      <c r="M237" s="904"/>
      <c r="N237" s="1450"/>
      <c r="O237" s="1450"/>
    </row>
    <row r="238" spans="2:18" ht="15" customHeight="1">
      <c r="D238" s="908"/>
      <c r="E238" s="909"/>
      <c r="F238" s="1473"/>
      <c r="G238" s="1474"/>
      <c r="H238" s="1475" t="s">
        <v>2765</v>
      </c>
      <c r="I238" s="1476"/>
      <c r="J238" s="1475" t="s">
        <v>2766</v>
      </c>
      <c r="K238" s="1477"/>
      <c r="L238" s="1478"/>
      <c r="M238" s="904"/>
      <c r="N238" s="1101"/>
      <c r="O238" s="1101"/>
    </row>
    <row r="239" spans="2:18" ht="15" customHeight="1">
      <c r="D239" s="908"/>
      <c r="E239" s="909"/>
      <c r="F239" s="1479"/>
      <c r="G239" s="1480"/>
      <c r="H239" s="1481"/>
      <c r="I239" s="1482"/>
      <c r="J239" s="1481" t="s">
        <v>2767</v>
      </c>
      <c r="K239" s="1483"/>
      <c r="L239" s="1482"/>
      <c r="M239" s="904"/>
      <c r="N239" s="152"/>
      <c r="O239" s="152"/>
    </row>
    <row r="240" spans="2:18" ht="15" customHeight="1">
      <c r="D240" s="908"/>
      <c r="E240" s="909"/>
      <c r="F240" s="1484"/>
      <c r="G240" s="1480" t="s">
        <v>2668</v>
      </c>
      <c r="H240" s="1481"/>
      <c r="I240" s="1482"/>
      <c r="J240" s="1481" t="s">
        <v>2768</v>
      </c>
      <c r="K240" s="1483"/>
      <c r="L240" s="1482"/>
      <c r="M240" s="904"/>
      <c r="N240" s="1485"/>
      <c r="O240" s="1485"/>
    </row>
    <row r="241" spans="4:15" ht="15" customHeight="1">
      <c r="D241" s="908"/>
      <c r="E241" s="909"/>
      <c r="F241" s="1479"/>
      <c r="G241" s="1486"/>
      <c r="H241" s="1487"/>
      <c r="I241" s="1488"/>
      <c r="J241" s="1487" t="s">
        <v>2769</v>
      </c>
      <c r="K241" s="1489"/>
      <c r="L241" s="1490"/>
      <c r="M241" s="904"/>
      <c r="N241" s="152"/>
      <c r="O241" s="152"/>
    </row>
    <row r="242" spans="4:15" ht="15" customHeight="1">
      <c r="D242" s="908"/>
      <c r="E242" s="909"/>
      <c r="F242" s="1479"/>
      <c r="G242" s="1474" t="s">
        <v>2668</v>
      </c>
      <c r="H242" s="1475" t="s">
        <v>2770</v>
      </c>
      <c r="I242" s="1476"/>
      <c r="J242" s="1475" t="s">
        <v>2771</v>
      </c>
      <c r="K242" s="1477"/>
      <c r="L242" s="1478"/>
      <c r="M242" s="904"/>
      <c r="N242" s="152"/>
      <c r="O242" s="152"/>
    </row>
    <row r="243" spans="4:15" ht="15" customHeight="1">
      <c r="D243" s="908"/>
      <c r="E243" s="909"/>
      <c r="F243" s="1479"/>
      <c r="G243" s="1480" t="s">
        <v>2668</v>
      </c>
      <c r="H243" s="1481"/>
      <c r="I243" s="1100"/>
      <c r="J243" s="1481" t="s">
        <v>2772</v>
      </c>
      <c r="K243" s="1491"/>
      <c r="L243" s="1482"/>
      <c r="M243" s="904"/>
      <c r="N243" s="152"/>
      <c r="O243" s="152"/>
    </row>
    <row r="244" spans="4:15" ht="15" customHeight="1">
      <c r="D244" s="908"/>
      <c r="E244" s="909"/>
      <c r="F244" s="1479"/>
      <c r="G244" s="1480" t="s">
        <v>2668</v>
      </c>
      <c r="H244" s="1481"/>
      <c r="I244" s="1100"/>
      <c r="J244" s="1481" t="s">
        <v>2773</v>
      </c>
      <c r="K244" s="1491"/>
      <c r="L244" s="1482"/>
      <c r="M244" s="904"/>
      <c r="N244" s="152"/>
      <c r="O244" s="152"/>
    </row>
    <row r="245" spans="4:15" ht="15" customHeight="1">
      <c r="D245" s="908"/>
      <c r="E245" s="909"/>
      <c r="F245" s="1479"/>
      <c r="G245" s="1486" t="s">
        <v>2668</v>
      </c>
      <c r="H245" s="1487"/>
      <c r="I245" s="1488"/>
      <c r="J245" s="1487" t="s">
        <v>2774</v>
      </c>
      <c r="K245" s="1489"/>
      <c r="L245" s="1490"/>
      <c r="M245" s="904"/>
      <c r="N245" s="152"/>
      <c r="O245" s="152"/>
    </row>
    <row r="246" spans="4:15" ht="15" customHeight="1">
      <c r="D246" s="908"/>
      <c r="E246" s="909"/>
      <c r="F246" s="1492"/>
      <c r="G246" s="1474" t="s">
        <v>2668</v>
      </c>
      <c r="H246" s="1475" t="s">
        <v>2775</v>
      </c>
      <c r="I246" s="1476"/>
      <c r="J246" s="1475" t="s">
        <v>2776</v>
      </c>
      <c r="K246" s="1477"/>
      <c r="L246" s="1478"/>
      <c r="M246" s="904"/>
      <c r="N246" s="1493"/>
      <c r="O246" s="1493"/>
    </row>
    <row r="247" spans="4:15" ht="15" customHeight="1">
      <c r="D247" s="908"/>
      <c r="E247" s="909"/>
      <c r="F247" s="1484"/>
      <c r="G247" s="1486" t="s">
        <v>2668</v>
      </c>
      <c r="H247" s="1487"/>
      <c r="I247" s="1488"/>
      <c r="J247" s="1487" t="s">
        <v>2376</v>
      </c>
      <c r="K247" s="1489"/>
      <c r="L247" s="1490"/>
      <c r="M247" s="904"/>
      <c r="N247" s="1485"/>
      <c r="O247" s="1485"/>
    </row>
    <row r="248" spans="4:15" ht="15" customHeight="1">
      <c r="D248" s="908"/>
      <c r="E248" s="909"/>
      <c r="F248" s="1479"/>
      <c r="G248" s="1474" t="s">
        <v>2668</v>
      </c>
      <c r="H248" s="1475" t="s">
        <v>2377</v>
      </c>
      <c r="I248" s="1476"/>
      <c r="J248" s="1475" t="s">
        <v>2378</v>
      </c>
      <c r="K248" s="1477"/>
      <c r="L248" s="1478"/>
      <c r="M248" s="904"/>
      <c r="N248" s="152"/>
      <c r="O248" s="152"/>
    </row>
    <row r="249" spans="4:15" ht="15" customHeight="1">
      <c r="D249" s="908"/>
      <c r="E249" s="909"/>
      <c r="F249" s="1479"/>
      <c r="G249" s="1480" t="s">
        <v>2668</v>
      </c>
      <c r="H249" s="1481"/>
      <c r="I249" s="1100"/>
      <c r="J249" s="1481" t="s">
        <v>2379</v>
      </c>
      <c r="K249" s="1491"/>
      <c r="L249" s="1482"/>
      <c r="M249" s="904"/>
      <c r="N249" s="152"/>
      <c r="O249" s="152"/>
    </row>
    <row r="250" spans="4:15" ht="15" customHeight="1">
      <c r="D250" s="908"/>
      <c r="E250" s="909"/>
      <c r="F250" s="1479"/>
      <c r="G250" s="1480" t="s">
        <v>2668</v>
      </c>
      <c r="H250" s="1481"/>
      <c r="I250" s="1100"/>
      <c r="J250" s="1481" t="s">
        <v>2380</v>
      </c>
      <c r="K250" s="1491"/>
      <c r="L250" s="1482"/>
      <c r="M250" s="904"/>
      <c r="N250" s="152"/>
      <c r="O250" s="152"/>
    </row>
    <row r="251" spans="4:15" ht="15" customHeight="1">
      <c r="D251" s="908"/>
      <c r="E251" s="909"/>
      <c r="F251" s="1479"/>
      <c r="G251" s="1486" t="s">
        <v>2668</v>
      </c>
      <c r="H251" s="1487"/>
      <c r="I251" s="1488"/>
      <c r="J251" s="1487" t="s">
        <v>2381</v>
      </c>
      <c r="K251" s="1489"/>
      <c r="L251" s="1490"/>
      <c r="M251" s="904"/>
      <c r="N251" s="152"/>
      <c r="O251" s="152"/>
    </row>
    <row r="252" spans="4:15" ht="15" customHeight="1">
      <c r="D252" s="908"/>
      <c r="E252" s="909"/>
      <c r="F252" s="1479"/>
      <c r="G252" s="1474" t="s">
        <v>2668</v>
      </c>
      <c r="H252" s="1475" t="s">
        <v>2759</v>
      </c>
      <c r="I252" s="1476"/>
      <c r="J252" s="1475" t="s">
        <v>2760</v>
      </c>
      <c r="K252" s="1477"/>
      <c r="L252" s="1478"/>
      <c r="M252" s="904"/>
      <c r="N252" s="152"/>
      <c r="O252" s="152"/>
    </row>
    <row r="253" spans="4:15" ht="15" customHeight="1">
      <c r="D253" s="908"/>
      <c r="E253" s="909"/>
      <c r="F253" s="1484"/>
      <c r="G253" s="1486" t="s">
        <v>2668</v>
      </c>
      <c r="H253" s="1487"/>
      <c r="I253" s="1488"/>
      <c r="J253" s="1487" t="s">
        <v>2761</v>
      </c>
      <c r="K253" s="1489"/>
      <c r="L253" s="1490"/>
      <c r="M253" s="904"/>
      <c r="N253" s="1485"/>
      <c r="O253" s="1485"/>
    </row>
    <row r="254" spans="4:15" ht="15" customHeight="1">
      <c r="D254" s="908"/>
      <c r="E254" s="909"/>
      <c r="F254" s="1479"/>
      <c r="G254" s="1474"/>
      <c r="H254" s="1494" t="s">
        <v>2762</v>
      </c>
      <c r="I254" s="1495"/>
      <c r="J254" s="1494" t="s">
        <v>1841</v>
      </c>
      <c r="K254" s="1496"/>
      <c r="L254" s="1495"/>
      <c r="M254" s="904"/>
      <c r="N254" s="152"/>
      <c r="O254" s="152"/>
    </row>
    <row r="255" spans="4:15" ht="15" customHeight="1">
      <c r="D255" s="908"/>
      <c r="E255" s="909"/>
      <c r="F255" s="1479"/>
      <c r="G255" s="1480"/>
      <c r="H255" s="1481" t="s">
        <v>1842</v>
      </c>
      <c r="I255" s="1100"/>
      <c r="J255" s="1481" t="s">
        <v>1843</v>
      </c>
      <c r="K255" s="1491"/>
      <c r="L255" s="1100"/>
      <c r="M255" s="904"/>
      <c r="N255" s="152"/>
      <c r="O255" s="152"/>
    </row>
    <row r="256" spans="4:15" ht="15" customHeight="1">
      <c r="D256" s="908"/>
      <c r="E256" s="909"/>
      <c r="F256" s="1479"/>
      <c r="G256" s="1480"/>
      <c r="H256" s="1481" t="s">
        <v>1844</v>
      </c>
      <c r="I256" s="1100"/>
      <c r="J256" s="1481" t="s">
        <v>2751</v>
      </c>
      <c r="K256" s="1497"/>
      <c r="L256" s="1498"/>
      <c r="M256" s="904"/>
      <c r="N256" s="152"/>
      <c r="O256" s="152"/>
    </row>
    <row r="257" spans="2:15" ht="15.75" hidden="1" customHeight="1">
      <c r="D257" s="908"/>
      <c r="E257" s="909"/>
      <c r="F257" s="1484"/>
      <c r="G257" s="1499"/>
      <c r="H257" s="1500"/>
      <c r="I257" s="1501"/>
      <c r="J257" s="1500"/>
      <c r="K257" s="1489"/>
      <c r="L257" s="1488"/>
      <c r="M257" s="904"/>
      <c r="N257" s="1485"/>
      <c r="O257" s="1485"/>
    </row>
    <row r="258" spans="2:15">
      <c r="D258" s="1139"/>
      <c r="E258" s="1139"/>
      <c r="F258" s="1139"/>
      <c r="G258" s="1502"/>
      <c r="H258" s="1502"/>
      <c r="I258" s="1502"/>
      <c r="J258" s="1502"/>
      <c r="K258" s="1502"/>
      <c r="L258" s="1503"/>
      <c r="M258" s="1139"/>
      <c r="N258" s="1139"/>
      <c r="O258" s="1139"/>
    </row>
    <row r="259" spans="2:15" ht="13.5" customHeight="1">
      <c r="D259" s="1326">
        <v>3.2</v>
      </c>
      <c r="E259" s="915" t="s">
        <v>1290</v>
      </c>
      <c r="F259" s="915"/>
      <c r="G259" s="1144"/>
      <c r="H259" s="916"/>
      <c r="I259" s="916"/>
      <c r="J259" s="916"/>
      <c r="K259" s="1144"/>
      <c r="L259" s="1390"/>
      <c r="M259" s="916"/>
      <c r="N259" s="1144"/>
      <c r="O259" s="916"/>
    </row>
    <row r="260" spans="2:15" ht="13.5" customHeight="1">
      <c r="D260" s="1326"/>
      <c r="E260" s="915"/>
      <c r="F260" s="1064" t="s">
        <v>2752</v>
      </c>
      <c r="G260" s="1144"/>
      <c r="H260" s="916"/>
      <c r="I260" s="916"/>
      <c r="J260" s="999" t="e">
        <f>IF(OR(F262=0,J261=0),$R$3,"")</f>
        <v>#DIV/0!</v>
      </c>
      <c r="K260" s="1064" t="s">
        <v>2753</v>
      </c>
      <c r="L260" s="1390"/>
      <c r="M260" s="916"/>
      <c r="N260" s="1144"/>
      <c r="O260" s="999" t="e">
        <f>IF(OR(K262=0,O261=0),$R$3,"")</f>
        <v>#DIV/0!</v>
      </c>
    </row>
    <row r="261" spans="2:15" ht="13.5" customHeight="1" thickBot="1">
      <c r="D261" s="908"/>
      <c r="E261" s="1061"/>
      <c r="F261" s="923"/>
      <c r="G261" s="924"/>
      <c r="H261" s="925"/>
      <c r="I261" s="926" t="s">
        <v>1364</v>
      </c>
      <c r="J261" s="929" t="e">
        <f>重み!M169</f>
        <v>#DIV/0!</v>
      </c>
      <c r="K261" s="923"/>
      <c r="L261" s="924"/>
      <c r="M261" s="925"/>
      <c r="N261" s="926" t="s">
        <v>1364</v>
      </c>
      <c r="O261" s="929" t="e">
        <f>重み!M170</f>
        <v>#DIV/0!</v>
      </c>
    </row>
    <row r="262" spans="2:15" ht="27" customHeight="1" thickBot="1">
      <c r="D262" s="908"/>
      <c r="E262" s="1061"/>
      <c r="F262" s="930">
        <v>4</v>
      </c>
      <c r="G262" s="934" t="s">
        <v>502</v>
      </c>
      <c r="H262" s="935"/>
      <c r="I262" s="935"/>
      <c r="J262" s="1046" t="s">
        <v>1325</v>
      </c>
      <c r="K262" s="930">
        <v>3</v>
      </c>
      <c r="L262" s="1504" t="s">
        <v>502</v>
      </c>
      <c r="M262" s="935"/>
      <c r="N262" s="935"/>
      <c r="O262" s="936"/>
    </row>
    <row r="263" spans="2:15" ht="24.75" customHeight="1">
      <c r="B263" s="1">
        <v>1</v>
      </c>
      <c r="C263" s="1505">
        <v>1</v>
      </c>
      <c r="D263" s="908"/>
      <c r="E263" s="1061"/>
      <c r="F263" s="937" t="str">
        <f>IF(F262=$S$16,$T$10,IF(ROUNDDOWN(F262,0)=$S$10,$U$10,$T$10))</f>
        <v>　レベル　1</v>
      </c>
      <c r="G263" s="3144" t="s">
        <v>2754</v>
      </c>
      <c r="H263" s="3164"/>
      <c r="I263" s="3150"/>
      <c r="J263" s="3449" t="s">
        <v>121</v>
      </c>
      <c r="K263" s="937" t="str">
        <f>IF(K262=$S$16,$T$10,IF(ROUNDDOWN(K262,0)=$S$10,$U$10,$T$10))</f>
        <v>　レベル　1</v>
      </c>
      <c r="L263" s="939" t="s">
        <v>2755</v>
      </c>
      <c r="M263" s="940"/>
      <c r="N263" s="940"/>
      <c r="O263" s="941"/>
    </row>
    <row r="264" spans="2:15" ht="21" customHeight="1">
      <c r="B264" s="1">
        <v>2</v>
      </c>
      <c r="C264" s="1505">
        <v>2</v>
      </c>
      <c r="D264" s="908"/>
      <c r="E264" s="1061"/>
      <c r="F264" s="942" t="str">
        <f>IF(F262=$S$16,$T$11,IF(ROUNDDOWN(F262,0)=$S$11,$U$11,$T$11))</f>
        <v>　レベル　2</v>
      </c>
      <c r="G264" s="946" t="s">
        <v>2756</v>
      </c>
      <c r="H264" s="947"/>
      <c r="I264" s="947"/>
      <c r="J264" s="3450"/>
      <c r="K264" s="942" t="str">
        <f>IF(K262=$S$16,$T$11,IF(ROUNDDOWN(K262,0)=$S$11,$U$11,$T$11))</f>
        <v>　レベル　2</v>
      </c>
      <c r="L264" s="946" t="s">
        <v>2757</v>
      </c>
      <c r="M264" s="947"/>
      <c r="N264" s="947"/>
      <c r="O264" s="948"/>
    </row>
    <row r="265" spans="2:15" ht="21" customHeight="1">
      <c r="B265" s="1" t="s">
        <v>1161</v>
      </c>
      <c r="C265" s="1">
        <v>3</v>
      </c>
      <c r="D265" s="908"/>
      <c r="E265" s="1061"/>
      <c r="F265" s="942" t="str">
        <f>IF(F262=$S$16,$T$12,IF(ROUNDDOWN(F262,0)=$S$12,$U$12,$T$12))</f>
        <v>　レベル　3</v>
      </c>
      <c r="G265" s="946" t="s">
        <v>2178</v>
      </c>
      <c r="H265" s="947"/>
      <c r="I265" s="947"/>
      <c r="J265" s="3450"/>
      <c r="K265" s="942" t="str">
        <f>IF(K262=$S$16,$T$12,IF(ROUNDDOWN(K262,0)=$S$12,$U$12,$T$12))</f>
        <v>■レベル　3</v>
      </c>
      <c r="L265" s="946" t="s">
        <v>2758</v>
      </c>
      <c r="M265" s="947"/>
      <c r="N265" s="947"/>
      <c r="O265" s="948"/>
    </row>
    <row r="266" spans="2:15" ht="40.5" customHeight="1">
      <c r="B266" s="1">
        <v>4</v>
      </c>
      <c r="C266" s="1">
        <v>4</v>
      </c>
      <c r="D266" s="908"/>
      <c r="E266" s="1061"/>
      <c r="F266" s="942" t="str">
        <f>IF(F262=$S$16,$T$13,IF(ROUNDDOWN(F262,0)=$S$13,$U$13,$T$13))</f>
        <v>■レベル　4</v>
      </c>
      <c r="G266" s="3148" t="s">
        <v>69</v>
      </c>
      <c r="H266" s="3165"/>
      <c r="I266" s="3192"/>
      <c r="J266" s="3450"/>
      <c r="K266" s="942" t="str">
        <f>IF(K262=$S$16,$T$13,IF(ROUNDDOWN(K262,0)=$S$13,$U$13,$T$13))</f>
        <v>　レベル　4</v>
      </c>
      <c r="L266" s="3148" t="s">
        <v>70</v>
      </c>
      <c r="M266" s="3165"/>
      <c r="N266" s="3165"/>
      <c r="O266" s="3192"/>
    </row>
    <row r="267" spans="2:15" ht="37.5" customHeight="1">
      <c r="B267" s="1" t="s">
        <v>1162</v>
      </c>
      <c r="C267" s="1">
        <v>5</v>
      </c>
      <c r="D267" s="908"/>
      <c r="E267" s="1059"/>
      <c r="F267" s="953" t="str">
        <f>IF(F262=$S$16,$T$14,IF(ROUNDDOWN(F262,0)=$S$14,$U$14,$T$14))</f>
        <v>　レベル　5</v>
      </c>
      <c r="G267" s="957" t="s">
        <v>2178</v>
      </c>
      <c r="H267" s="958"/>
      <c r="I267" s="958"/>
      <c r="J267" s="3451"/>
      <c r="K267" s="953" t="str">
        <f>IF(K262=$S$16,$T$14,IF(ROUNDDOWN(K262,0)=$S$14,$U$14,$T$14))</f>
        <v>　レベル　5</v>
      </c>
      <c r="L267" s="3146" t="s">
        <v>3038</v>
      </c>
      <c r="M267" s="3170"/>
      <c r="N267" s="3170"/>
      <c r="O267" s="3176"/>
    </row>
    <row r="268" spans="2:15" ht="13.5" customHeight="1">
      <c r="B268" s="960">
        <v>0</v>
      </c>
      <c r="C268" s="960">
        <v>0</v>
      </c>
      <c r="D268" s="908"/>
      <c r="E268" s="1059"/>
      <c r="F268" s="1229"/>
      <c r="G268" s="1229"/>
      <c r="H268" s="1229"/>
      <c r="I268" s="1229"/>
      <c r="J268" s="1229"/>
      <c r="K268" s="1229"/>
      <c r="L268" s="1458"/>
      <c r="M268" s="1458"/>
      <c r="N268" s="1458"/>
      <c r="O268" s="1458"/>
    </row>
    <row r="269" spans="2:15" ht="13.5" customHeight="1">
      <c r="D269" s="908"/>
      <c r="E269" s="1059"/>
      <c r="F269" s="1064" t="s">
        <v>2137</v>
      </c>
      <c r="G269" s="1229"/>
      <c r="H269" s="1229"/>
      <c r="I269" s="1229"/>
      <c r="J269" s="999" t="e">
        <f>IF(OR(F271=0,J270=0),$R$3,"")</f>
        <v>#DIV/0!</v>
      </c>
      <c r="K269" s="1229"/>
      <c r="L269" s="1458"/>
      <c r="M269" s="1458"/>
      <c r="N269" s="1458"/>
      <c r="O269" s="1458"/>
    </row>
    <row r="270" spans="2:15" ht="13.5" customHeight="1" thickBot="1">
      <c r="D270" s="908"/>
      <c r="E270" s="1059"/>
      <c r="F270" s="923"/>
      <c r="G270" s="924"/>
      <c r="H270" s="925"/>
      <c r="I270" s="926" t="s">
        <v>1364</v>
      </c>
      <c r="J270" s="929" t="e">
        <f>重み!M171</f>
        <v>#DIV/0!</v>
      </c>
      <c r="K270" s="1229"/>
      <c r="L270" s="1458"/>
      <c r="M270" s="1458"/>
      <c r="N270" s="1458"/>
      <c r="O270" s="1458"/>
    </row>
    <row r="271" spans="2:15" ht="27" customHeight="1" thickBot="1">
      <c r="D271" s="908"/>
      <c r="E271" s="1059"/>
      <c r="F271" s="930">
        <v>3</v>
      </c>
      <c r="G271" s="934" t="s">
        <v>502</v>
      </c>
      <c r="H271" s="935"/>
      <c r="I271" s="935"/>
      <c r="J271" s="936"/>
      <c r="K271" s="1072" t="s">
        <v>1325</v>
      </c>
      <c r="L271" s="1458"/>
      <c r="M271" s="1458"/>
      <c r="N271" s="1458"/>
      <c r="O271" s="1458"/>
    </row>
    <row r="272" spans="2:15" ht="15.5">
      <c r="B272" s="1" t="s">
        <v>2842</v>
      </c>
      <c r="C272" s="1">
        <v>1</v>
      </c>
      <c r="D272" s="908"/>
      <c r="E272" s="1059"/>
      <c r="F272" s="937" t="str">
        <f>IF(F271=$S$16,$T$10,IF(ROUNDDOWN(F271,0)=$S$10,$U$10,$T$10))</f>
        <v>　レベル　1</v>
      </c>
      <c r="G272" s="2763" t="s">
        <v>2178</v>
      </c>
      <c r="H272" s="2764"/>
      <c r="I272" s="2764"/>
      <c r="J272" s="2764"/>
      <c r="K272" s="3449" t="s">
        <v>120</v>
      </c>
      <c r="L272" s="1458"/>
      <c r="M272" s="1458"/>
      <c r="N272" s="1458"/>
      <c r="O272" s="1458"/>
    </row>
    <row r="273" spans="2:15" ht="21" customHeight="1">
      <c r="B273" s="1">
        <v>2</v>
      </c>
      <c r="C273" s="1">
        <v>2</v>
      </c>
      <c r="D273" s="908"/>
      <c r="E273" s="1059"/>
      <c r="F273" s="942" t="str">
        <f>IF(F271=$S$16,$T$11,IF(ROUNDDOWN(F271,0)=$S$11,$U$11,$T$11))</f>
        <v>　レベル　2</v>
      </c>
      <c r="G273" s="2119" t="s">
        <v>2138</v>
      </c>
      <c r="H273" s="2764"/>
      <c r="I273" s="2764"/>
      <c r="J273" s="2764"/>
      <c r="K273" s="3450"/>
      <c r="L273" s="1458"/>
      <c r="M273" s="1458"/>
      <c r="N273" s="1458"/>
      <c r="O273" s="1458"/>
    </row>
    <row r="274" spans="2:15" ht="21" customHeight="1">
      <c r="B274" s="1">
        <v>3</v>
      </c>
      <c r="C274" s="1">
        <v>3</v>
      </c>
      <c r="D274" s="908"/>
      <c r="E274" s="1059"/>
      <c r="F274" s="942" t="str">
        <f>IF(F271=$S$16,$T$12,IF(ROUNDDOWN(F271,0)=$S$12,$U$12,$T$12))</f>
        <v>■レベル　3</v>
      </c>
      <c r="G274" s="2119" t="s">
        <v>2139</v>
      </c>
      <c r="H274" s="2764"/>
      <c r="I274" s="2764"/>
      <c r="J274" s="2764"/>
      <c r="K274" s="3450"/>
      <c r="L274" s="1458"/>
      <c r="M274" s="1458"/>
      <c r="N274" s="1458"/>
      <c r="O274" s="1458"/>
    </row>
    <row r="275" spans="2:15" ht="27" customHeight="1">
      <c r="B275" s="1">
        <v>4</v>
      </c>
      <c r="C275" s="1">
        <v>4</v>
      </c>
      <c r="D275" s="908"/>
      <c r="E275" s="1059"/>
      <c r="F275" s="942" t="str">
        <f>IF(F271=$S$16,$T$13,IF(ROUNDDOWN(F271,0)=$S$13,$U$13,$T$13))</f>
        <v>　レベル　4</v>
      </c>
      <c r="G275" s="3148" t="s">
        <v>2140</v>
      </c>
      <c r="H275" s="3171"/>
      <c r="I275" s="3171"/>
      <c r="J275" s="3172"/>
      <c r="K275" s="3450"/>
      <c r="L275" s="1458"/>
      <c r="M275" s="1458"/>
      <c r="N275" s="1458"/>
      <c r="O275" s="1458"/>
    </row>
    <row r="276" spans="2:15" ht="15.5">
      <c r="B276" s="1" t="s">
        <v>2842</v>
      </c>
      <c r="C276" s="1">
        <v>5</v>
      </c>
      <c r="D276" s="908"/>
      <c r="E276" s="1059"/>
      <c r="F276" s="953" t="str">
        <f>IF(F271=$S$16,$T$14,IF(ROUNDDOWN(F271,0)=$S$14,$U$14,$T$14))</f>
        <v>　レベル　5</v>
      </c>
      <c r="G276" s="2760" t="s">
        <v>2178</v>
      </c>
      <c r="H276" s="2761"/>
      <c r="I276" s="2761"/>
      <c r="J276" s="2761"/>
      <c r="K276" s="3451"/>
      <c r="L276" s="1458"/>
      <c r="M276" s="1458"/>
      <c r="N276" s="1458"/>
      <c r="O276" s="1458"/>
    </row>
    <row r="277" spans="2:15" ht="13.5" customHeight="1">
      <c r="B277" s="960">
        <v>0</v>
      </c>
      <c r="C277" s="960">
        <v>0</v>
      </c>
      <c r="D277" s="908"/>
      <c r="E277" s="909"/>
      <c r="F277" s="1506" t="s">
        <v>2141</v>
      </c>
      <c r="G277" s="1507"/>
      <c r="H277" s="1507"/>
      <c r="I277" s="1507"/>
      <c r="J277" s="1507"/>
      <c r="K277" s="1507"/>
      <c r="L277" s="1508"/>
      <c r="M277" s="1458"/>
      <c r="N277" s="1458"/>
      <c r="O277" s="1458"/>
    </row>
    <row r="278" spans="2:15" ht="13.5" customHeight="1">
      <c r="D278" s="908"/>
      <c r="E278" s="909"/>
      <c r="F278" s="1509" t="s">
        <v>2142</v>
      </c>
      <c r="G278" s="1510"/>
      <c r="H278" s="1511"/>
      <c r="I278" s="1512" t="s">
        <v>2143</v>
      </c>
      <c r="J278" s="1513"/>
      <c r="K278" s="1513"/>
      <c r="L278" s="1514"/>
      <c r="M278" s="1513"/>
      <c r="N278" s="1513"/>
      <c r="O278" s="1515"/>
    </row>
    <row r="279" spans="2:15" ht="13.5" customHeight="1">
      <c r="D279" s="908"/>
      <c r="E279" s="909"/>
      <c r="F279" s="1048" t="s">
        <v>706</v>
      </c>
      <c r="G279" s="1509" t="s">
        <v>1028</v>
      </c>
      <c r="H279" s="1511"/>
      <c r="I279" s="1516" t="s">
        <v>707</v>
      </c>
      <c r="J279" s="1517"/>
      <c r="K279" s="1517"/>
      <c r="L279" s="1518"/>
      <c r="M279" s="1517"/>
      <c r="N279" s="1517"/>
      <c r="O279" s="1519"/>
    </row>
    <row r="280" spans="2:15" ht="13.5" customHeight="1">
      <c r="D280" s="908"/>
      <c r="E280" s="909"/>
      <c r="F280" s="1520"/>
      <c r="G280" s="1509" t="s">
        <v>708</v>
      </c>
      <c r="H280" s="1511"/>
      <c r="I280" s="1509" t="s">
        <v>1029</v>
      </c>
      <c r="J280" s="1510"/>
      <c r="K280" s="1510"/>
      <c r="L280" s="1521"/>
      <c r="M280" s="1510"/>
      <c r="N280" s="1510"/>
      <c r="O280" s="1511"/>
    </row>
    <row r="281" spans="2:15" ht="13.5" customHeight="1">
      <c r="D281" s="908"/>
      <c r="E281" s="909"/>
      <c r="F281" s="1520"/>
      <c r="G281" s="1509" t="s">
        <v>709</v>
      </c>
      <c r="H281" s="1511"/>
      <c r="I281" s="1509" t="s">
        <v>1030</v>
      </c>
      <c r="J281" s="1510"/>
      <c r="K281" s="1510"/>
      <c r="L281" s="1521"/>
      <c r="M281" s="1510"/>
      <c r="N281" s="1510"/>
      <c r="O281" s="1511"/>
    </row>
    <row r="282" spans="2:15" ht="13.5" customHeight="1">
      <c r="D282" s="908"/>
      <c r="E282" s="909"/>
      <c r="F282" s="1520"/>
      <c r="G282" s="1509" t="s">
        <v>710</v>
      </c>
      <c r="H282" s="1511"/>
      <c r="I282" s="1509" t="s">
        <v>1031</v>
      </c>
      <c r="J282" s="1510"/>
      <c r="K282" s="1510"/>
      <c r="L282" s="1521"/>
      <c r="M282" s="1510"/>
      <c r="N282" s="1510"/>
      <c r="O282" s="1511"/>
    </row>
    <row r="283" spans="2:15" ht="13.5" customHeight="1">
      <c r="D283" s="908"/>
      <c r="E283" s="909"/>
      <c r="F283" s="1375"/>
      <c r="G283" s="1509" t="s">
        <v>711</v>
      </c>
      <c r="H283" s="1511"/>
      <c r="I283" s="1509" t="s">
        <v>1032</v>
      </c>
      <c r="J283" s="1510"/>
      <c r="K283" s="1510"/>
      <c r="L283" s="1521"/>
      <c r="M283" s="1510"/>
      <c r="N283" s="1510"/>
      <c r="O283" s="1511"/>
    </row>
    <row r="284" spans="2:15" ht="13.5" customHeight="1">
      <c r="D284" s="908"/>
      <c r="E284" s="909"/>
      <c r="F284" s="1522" t="s">
        <v>2203</v>
      </c>
      <c r="G284" s="1509" t="s">
        <v>1033</v>
      </c>
      <c r="H284" s="1511"/>
      <c r="I284" s="1509" t="s">
        <v>1034</v>
      </c>
      <c r="J284" s="1510"/>
      <c r="K284" s="1510"/>
      <c r="L284" s="1521"/>
      <c r="M284" s="1510"/>
      <c r="N284" s="1510"/>
      <c r="O284" s="1511"/>
    </row>
    <row r="285" spans="2:15" ht="13.5" customHeight="1">
      <c r="D285" s="908"/>
      <c r="E285" s="909"/>
      <c r="F285" s="1522" t="s">
        <v>2204</v>
      </c>
      <c r="G285" s="1509" t="s">
        <v>1035</v>
      </c>
      <c r="H285" s="1511"/>
      <c r="I285" s="1509" t="s">
        <v>1036</v>
      </c>
      <c r="J285" s="1510"/>
      <c r="K285" s="1510"/>
      <c r="L285" s="1521"/>
      <c r="M285" s="1510"/>
      <c r="N285" s="1510"/>
      <c r="O285" s="1511"/>
    </row>
    <row r="286" spans="2:15" ht="13.5" customHeight="1">
      <c r="D286" s="908"/>
      <c r="E286" s="909"/>
      <c r="F286" s="1522" t="s">
        <v>1037</v>
      </c>
      <c r="G286" s="1509" t="s">
        <v>677</v>
      </c>
      <c r="H286" s="1511"/>
      <c r="I286" s="1509" t="s">
        <v>1381</v>
      </c>
      <c r="J286" s="1510"/>
      <c r="K286" s="1510"/>
      <c r="L286" s="1521"/>
      <c r="M286" s="1510"/>
      <c r="N286" s="1510"/>
      <c r="O286" s="1511"/>
    </row>
    <row r="287" spans="2:15" ht="13.5" customHeight="1">
      <c r="D287" s="908"/>
      <c r="E287" s="909"/>
      <c r="F287" s="1523" t="s">
        <v>2205</v>
      </c>
      <c r="G287" s="1229"/>
      <c r="H287" s="1229"/>
      <c r="I287" s="1229"/>
      <c r="J287" s="1229"/>
      <c r="K287" s="1229"/>
      <c r="L287" s="1524"/>
      <c r="M287" s="1458"/>
      <c r="N287" s="1458"/>
      <c r="O287" s="1458"/>
    </row>
    <row r="288" spans="2:15" ht="13.5" customHeight="1">
      <c r="D288" s="908"/>
      <c r="E288" s="909"/>
      <c r="F288" s="1525" t="s">
        <v>1382</v>
      </c>
      <c r="G288" s="1526"/>
      <c r="H288" s="1527"/>
      <c r="I288" s="1528" t="s">
        <v>1383</v>
      </c>
      <c r="J288" s="1529" t="s">
        <v>1384</v>
      </c>
      <c r="K288" s="1530"/>
      <c r="L288" s="1531" t="s">
        <v>2206</v>
      </c>
      <c r="M288" s="1532" t="s">
        <v>1385</v>
      </c>
      <c r="O288" s="1458"/>
    </row>
    <row r="289" spans="4:15" ht="13.5" customHeight="1">
      <c r="D289" s="908"/>
      <c r="E289" s="909"/>
      <c r="F289" s="1533" t="s">
        <v>1386</v>
      </c>
      <c r="G289" s="1534"/>
      <c r="H289" s="1535"/>
      <c r="I289" s="1528" t="s">
        <v>1387</v>
      </c>
      <c r="J289" s="1525" t="s">
        <v>2207</v>
      </c>
      <c r="K289" s="1527"/>
      <c r="L289" s="1536">
        <v>1</v>
      </c>
      <c r="M289" s="1537">
        <v>4750</v>
      </c>
      <c r="O289" s="1458"/>
    </row>
    <row r="290" spans="4:15" ht="13.5" customHeight="1">
      <c r="D290" s="908"/>
      <c r="E290" s="909"/>
      <c r="F290" s="1538"/>
      <c r="G290" s="1539"/>
      <c r="H290" s="1540"/>
      <c r="I290" s="1528" t="s">
        <v>407</v>
      </c>
      <c r="J290" s="1525" t="s">
        <v>2208</v>
      </c>
      <c r="K290" s="1527"/>
      <c r="L290" s="1536">
        <v>0.11</v>
      </c>
      <c r="M290" s="1541">
        <v>725</v>
      </c>
      <c r="O290" s="1458"/>
    </row>
    <row r="291" spans="4:15" ht="13.5" customHeight="1">
      <c r="D291" s="908"/>
      <c r="E291" s="909"/>
      <c r="F291" s="1542" t="s">
        <v>408</v>
      </c>
      <c r="G291" s="1543"/>
      <c r="H291" s="1544"/>
      <c r="I291" s="1525" t="s">
        <v>409</v>
      </c>
      <c r="J291" s="1525" t="s">
        <v>2209</v>
      </c>
      <c r="K291" s="1527"/>
      <c r="L291" s="1536">
        <v>0</v>
      </c>
      <c r="M291" s="1545">
        <v>1430</v>
      </c>
      <c r="O291" s="1458"/>
    </row>
    <row r="292" spans="4:15" ht="13.5" customHeight="1">
      <c r="D292" s="908"/>
      <c r="E292" s="909"/>
      <c r="F292" s="1546"/>
      <c r="G292" s="1547"/>
      <c r="H292" s="1548"/>
      <c r="I292" s="1525"/>
      <c r="J292" s="1525" t="s">
        <v>2210</v>
      </c>
      <c r="K292" s="1527"/>
      <c r="L292" s="1536">
        <v>0</v>
      </c>
      <c r="M292" s="1541">
        <v>560</v>
      </c>
      <c r="O292" s="1458"/>
    </row>
    <row r="293" spans="4:15" ht="13.5" customHeight="1">
      <c r="D293" s="908"/>
      <c r="E293" s="909"/>
      <c r="F293" s="1549"/>
      <c r="G293" s="1550"/>
      <c r="H293" s="1551"/>
      <c r="I293" s="1525"/>
      <c r="J293" s="1525" t="s">
        <v>812</v>
      </c>
      <c r="K293" s="1527"/>
      <c r="L293" s="1536">
        <v>0</v>
      </c>
      <c r="M293" s="1541">
        <v>3</v>
      </c>
      <c r="O293" s="1458"/>
    </row>
    <row r="294" spans="4:15" ht="13.5" customHeight="1">
      <c r="D294" s="908"/>
      <c r="E294" s="909"/>
      <c r="F294" s="1533" t="s">
        <v>410</v>
      </c>
      <c r="G294" s="1534"/>
      <c r="H294" s="1535"/>
      <c r="I294" s="1528" t="s">
        <v>1387</v>
      </c>
      <c r="J294" s="1525" t="s">
        <v>813</v>
      </c>
      <c r="K294" s="1527"/>
      <c r="L294" s="1536">
        <v>1</v>
      </c>
      <c r="M294" s="1545">
        <v>10900</v>
      </c>
      <c r="O294" s="1458"/>
    </row>
    <row r="295" spans="4:15" ht="13.5" customHeight="1">
      <c r="D295" s="908"/>
      <c r="E295" s="909"/>
      <c r="F295" s="1552"/>
      <c r="G295" s="1553"/>
      <c r="H295" s="1554"/>
      <c r="I295" s="1528" t="s">
        <v>407</v>
      </c>
      <c r="J295" s="1525" t="s">
        <v>814</v>
      </c>
      <c r="K295" s="1527"/>
      <c r="L295" s="1536">
        <v>6.5000000000000002E-2</v>
      </c>
      <c r="M295" s="1545">
        <v>2310</v>
      </c>
      <c r="O295" s="1458"/>
    </row>
    <row r="296" spans="4:15" ht="13.5" customHeight="1">
      <c r="D296" s="908"/>
      <c r="E296" s="909"/>
      <c r="F296" s="1538"/>
      <c r="G296" s="1539"/>
      <c r="H296" s="1540"/>
      <c r="I296" s="1528" t="s">
        <v>409</v>
      </c>
      <c r="J296" s="1525" t="s">
        <v>2209</v>
      </c>
      <c r="K296" s="1527"/>
      <c r="L296" s="1536">
        <v>0</v>
      </c>
      <c r="M296" s="1545">
        <v>1430</v>
      </c>
      <c r="O296" s="1458"/>
    </row>
    <row r="297" spans="4:15" ht="13.5" customHeight="1">
      <c r="D297" s="908"/>
      <c r="E297" s="909"/>
      <c r="F297" s="1533" t="s">
        <v>815</v>
      </c>
      <c r="G297" s="1534"/>
      <c r="H297" s="1535"/>
      <c r="I297" s="1528" t="s">
        <v>1387</v>
      </c>
      <c r="J297" s="1525" t="s">
        <v>816</v>
      </c>
      <c r="K297" s="1527"/>
      <c r="L297" s="1536">
        <v>0.8</v>
      </c>
      <c r="M297" s="1545">
        <v>6130</v>
      </c>
      <c r="O297" s="1458"/>
    </row>
    <row r="298" spans="4:15" ht="15.5">
      <c r="D298" s="908"/>
      <c r="E298" s="909"/>
      <c r="F298" s="1538"/>
      <c r="G298" s="1539"/>
      <c r="H298" s="1540"/>
      <c r="I298" s="1528" t="s">
        <v>411</v>
      </c>
      <c r="J298" s="1525" t="s">
        <v>817</v>
      </c>
      <c r="K298" s="1527"/>
      <c r="L298" s="1536">
        <v>0</v>
      </c>
      <c r="M298" s="1541"/>
      <c r="O298" s="1458"/>
    </row>
    <row r="299" spans="4:15">
      <c r="F299" s="1555" t="s">
        <v>1058</v>
      </c>
      <c r="G299" s="1556"/>
      <c r="H299" s="1556"/>
      <c r="I299" s="1557"/>
    </row>
    <row r="300" spans="4:15">
      <c r="F300" s="1558" t="s">
        <v>1059</v>
      </c>
      <c r="G300" s="1559" t="s">
        <v>1060</v>
      </c>
      <c r="H300" s="1560" t="s">
        <v>818</v>
      </c>
      <c r="I300" s="1561" t="s">
        <v>1061</v>
      </c>
      <c r="J300" s="1366" t="s">
        <v>1325</v>
      </c>
      <c r="K300" s="1368"/>
    </row>
    <row r="301" spans="4:15">
      <c r="F301" s="1558" t="s">
        <v>1062</v>
      </c>
      <c r="G301" s="1560">
        <v>50</v>
      </c>
      <c r="H301" s="1560">
        <v>1</v>
      </c>
      <c r="I301" s="1562">
        <v>4750</v>
      </c>
      <c r="J301" s="1558" t="s">
        <v>819</v>
      </c>
      <c r="K301" s="1563"/>
    </row>
    <row r="302" spans="4:15">
      <c r="F302" s="1384" t="s">
        <v>1063</v>
      </c>
      <c r="G302" s="1564">
        <v>120</v>
      </c>
      <c r="H302" s="1564">
        <v>1</v>
      </c>
      <c r="I302" s="1565">
        <v>10900</v>
      </c>
      <c r="J302" s="1384"/>
      <c r="K302" s="1566"/>
    </row>
    <row r="303" spans="4:15">
      <c r="F303" s="1384" t="s">
        <v>1064</v>
      </c>
      <c r="G303" s="1564">
        <v>85</v>
      </c>
      <c r="H303" s="1564">
        <v>0.8</v>
      </c>
      <c r="I303" s="1565">
        <v>6130</v>
      </c>
      <c r="J303" s="1384"/>
      <c r="K303" s="1566"/>
    </row>
    <row r="304" spans="4:15">
      <c r="F304" s="1384" t="s">
        <v>1065</v>
      </c>
      <c r="G304" s="1564">
        <v>300</v>
      </c>
      <c r="H304" s="1564">
        <v>1</v>
      </c>
      <c r="I304" s="1565">
        <v>10000</v>
      </c>
      <c r="J304" s="1384"/>
      <c r="K304" s="1566"/>
    </row>
    <row r="305" spans="6:11">
      <c r="F305" s="1567" t="s">
        <v>1066</v>
      </c>
      <c r="G305" s="1568">
        <v>1700</v>
      </c>
      <c r="H305" s="1568">
        <v>0.6</v>
      </c>
      <c r="I305" s="1569">
        <v>7370</v>
      </c>
      <c r="J305" s="1567"/>
      <c r="K305" s="1570"/>
    </row>
    <row r="306" spans="6:11">
      <c r="F306" s="1558" t="s">
        <v>1067</v>
      </c>
      <c r="G306" s="1560">
        <v>13.3</v>
      </c>
      <c r="H306" s="1560">
        <v>5.5E-2</v>
      </c>
      <c r="I306" s="1562">
        <v>1810</v>
      </c>
      <c r="J306" s="1558" t="s">
        <v>820</v>
      </c>
      <c r="K306" s="1563"/>
    </row>
    <row r="307" spans="6:11">
      <c r="F307" s="1384" t="s">
        <v>1068</v>
      </c>
      <c r="G307" s="1564">
        <v>1.4</v>
      </c>
      <c r="H307" s="1564" t="s">
        <v>821</v>
      </c>
      <c r="I307" s="1565">
        <v>77</v>
      </c>
      <c r="J307" s="1384"/>
      <c r="K307" s="1566"/>
    </row>
    <row r="308" spans="6:11">
      <c r="F308" s="1384" t="s">
        <v>1868</v>
      </c>
      <c r="G308" s="1564">
        <v>5.9</v>
      </c>
      <c r="H308" s="1564">
        <v>2.1999999999999999E-2</v>
      </c>
      <c r="I308" s="1565">
        <v>609</v>
      </c>
      <c r="J308" s="1384"/>
      <c r="K308" s="1566"/>
    </row>
    <row r="309" spans="6:11">
      <c r="F309" s="1384" t="s">
        <v>1869</v>
      </c>
      <c r="G309" s="1564">
        <v>9.4</v>
      </c>
      <c r="H309" s="1564">
        <v>0.11</v>
      </c>
      <c r="I309" s="1565">
        <v>725</v>
      </c>
      <c r="J309" s="1384"/>
      <c r="K309" s="1566"/>
    </row>
    <row r="310" spans="6:11">
      <c r="F310" s="1384" t="s">
        <v>1870</v>
      </c>
      <c r="G310" s="1564">
        <v>19.5</v>
      </c>
      <c r="H310" s="1564">
        <v>6.5000000000000002E-2</v>
      </c>
      <c r="I310" s="1565">
        <v>2310</v>
      </c>
      <c r="J310" s="1384"/>
      <c r="K310" s="1566"/>
    </row>
    <row r="311" spans="6:11">
      <c r="F311" s="1384" t="s">
        <v>1871</v>
      </c>
      <c r="G311" s="1564">
        <v>2.5</v>
      </c>
      <c r="H311" s="1564">
        <v>0.25</v>
      </c>
      <c r="I311" s="1565">
        <v>122</v>
      </c>
      <c r="J311" s="1384"/>
      <c r="K311" s="1566"/>
    </row>
    <row r="312" spans="6:11">
      <c r="F312" s="1567" t="s">
        <v>1872</v>
      </c>
      <c r="G312" s="1568">
        <v>2.6</v>
      </c>
      <c r="H312" s="1568">
        <v>3.3000000000000002E-2</v>
      </c>
      <c r="I312" s="1569">
        <v>595</v>
      </c>
      <c r="J312" s="1567"/>
      <c r="K312" s="1570"/>
    </row>
    <row r="313" spans="6:11">
      <c r="F313" s="1558" t="s">
        <v>1873</v>
      </c>
      <c r="G313" s="1560">
        <v>264</v>
      </c>
      <c r="H313" s="1560">
        <v>0</v>
      </c>
      <c r="I313" s="1562">
        <v>14800</v>
      </c>
      <c r="J313" s="1558" t="s">
        <v>1874</v>
      </c>
      <c r="K313" s="1563"/>
    </row>
    <row r="314" spans="6:11">
      <c r="F314" s="1384" t="s">
        <v>1875</v>
      </c>
      <c r="G314" s="1564">
        <v>5.6</v>
      </c>
      <c r="H314" s="1564"/>
      <c r="I314" s="1565">
        <v>675</v>
      </c>
      <c r="J314" s="1384"/>
      <c r="K314" s="1566"/>
    </row>
    <row r="315" spans="6:11">
      <c r="F315" s="1384" t="s">
        <v>1876</v>
      </c>
      <c r="G315" s="1564">
        <v>32.6</v>
      </c>
      <c r="H315" s="1564"/>
      <c r="I315" s="1565">
        <v>3500</v>
      </c>
      <c r="J315" s="1384"/>
      <c r="K315" s="1566"/>
    </row>
    <row r="316" spans="6:11">
      <c r="F316" s="1384" t="s">
        <v>1877</v>
      </c>
      <c r="G316" s="1564">
        <v>14.6</v>
      </c>
      <c r="H316" s="1564"/>
      <c r="I316" s="1565">
        <v>1430</v>
      </c>
      <c r="J316" s="1384"/>
      <c r="K316" s="1566"/>
    </row>
    <row r="317" spans="6:11">
      <c r="F317" s="1384" t="s">
        <v>1878</v>
      </c>
      <c r="G317" s="1564">
        <v>48.3</v>
      </c>
      <c r="H317" s="1564"/>
      <c r="I317" s="1565">
        <v>4470</v>
      </c>
      <c r="J317" s="1384"/>
      <c r="K317" s="1566"/>
    </row>
    <row r="318" spans="6:11">
      <c r="F318" s="1384" t="s">
        <v>1879</v>
      </c>
      <c r="G318" s="1564">
        <v>1.5</v>
      </c>
      <c r="H318" s="1564"/>
      <c r="I318" s="1565">
        <v>124</v>
      </c>
      <c r="J318" s="1384"/>
      <c r="K318" s="1566"/>
    </row>
    <row r="319" spans="6:11">
      <c r="F319" s="1384" t="s">
        <v>1880</v>
      </c>
      <c r="G319" s="1564">
        <v>36.5</v>
      </c>
      <c r="H319" s="1564"/>
      <c r="I319" s="1565">
        <v>3220</v>
      </c>
      <c r="J319" s="1384"/>
      <c r="K319" s="1566"/>
    </row>
    <row r="320" spans="6:11">
      <c r="F320" s="1384" t="s">
        <v>1881</v>
      </c>
      <c r="G320" s="1564">
        <v>209</v>
      </c>
      <c r="H320" s="1564"/>
      <c r="I320" s="1565">
        <v>9810</v>
      </c>
      <c r="J320" s="1384"/>
      <c r="K320" s="1566"/>
    </row>
    <row r="321" spans="6:11">
      <c r="F321" s="1567" t="s">
        <v>1373</v>
      </c>
      <c r="G321" s="1568">
        <v>6.6</v>
      </c>
      <c r="H321" s="1568"/>
      <c r="I321" s="1569">
        <v>560</v>
      </c>
      <c r="J321" s="1567"/>
      <c r="K321" s="1570"/>
    </row>
    <row r="322" spans="6:11">
      <c r="F322" s="1558" t="s">
        <v>1374</v>
      </c>
      <c r="G322" s="1562">
        <v>50000</v>
      </c>
      <c r="H322" s="1560">
        <v>0</v>
      </c>
      <c r="I322" s="1562">
        <v>6500</v>
      </c>
      <c r="J322" s="1558" t="s">
        <v>822</v>
      </c>
      <c r="K322" s="1563"/>
    </row>
    <row r="323" spans="6:11">
      <c r="F323" s="1384" t="s">
        <v>1375</v>
      </c>
      <c r="G323" s="1565">
        <v>10000</v>
      </c>
      <c r="H323" s="1564"/>
      <c r="I323" s="1565">
        <v>9200</v>
      </c>
      <c r="J323" s="1384"/>
      <c r="K323" s="1566"/>
    </row>
    <row r="324" spans="6:11">
      <c r="F324" s="1384" t="s">
        <v>1376</v>
      </c>
      <c r="G324" s="1565">
        <v>2600</v>
      </c>
      <c r="H324" s="1564"/>
      <c r="I324" s="1565">
        <v>7000</v>
      </c>
      <c r="J324" s="1384"/>
      <c r="K324" s="1566"/>
    </row>
    <row r="325" spans="6:11">
      <c r="F325" s="1567" t="s">
        <v>1377</v>
      </c>
      <c r="G325" s="1569">
        <v>3200</v>
      </c>
      <c r="H325" s="1568"/>
      <c r="I325" s="1569">
        <v>8700</v>
      </c>
      <c r="J325" s="1567"/>
      <c r="K325" s="1570"/>
    </row>
    <row r="326" spans="6:11"/>
    <row r="327" spans="6:11" hidden="1"/>
    <row r="328" spans="6:11" hidden="1"/>
    <row r="329" spans="6:11" hidden="1"/>
    <row r="330" spans="6:11" hidden="1"/>
    <row r="331" spans="6:11" hidden="1"/>
    <row r="332" spans="6:11" hidden="1"/>
    <row r="333" spans="6:11" hidden="1"/>
    <row r="334" spans="6:11" hidden="1"/>
    <row r="335" spans="6:11" hidden="1"/>
    <row r="336" spans="6:11"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sheetData>
  <sheetProtection algorithmName="SHA-512" hashValue="uYRgT5Mr0YMv/x86Of6vy2mWnqPlw23EdMiW1Z8g+O5G+pBfT3Pl613U/NK6f0ig7uI0YSIFJI4jx3bgW3UX2w==" saltValue="AqhweUUAgwCG1Dk4Q3rM4g==" spinCount="100000" sheet="1" objects="1" scenarios="1"/>
  <mergeCells count="58">
    <mergeCell ref="G34:J34"/>
    <mergeCell ref="H36:J36"/>
    <mergeCell ref="G30:J30"/>
    <mergeCell ref="G31:J31"/>
    <mergeCell ref="G32:J32"/>
    <mergeCell ref="G33:J33"/>
    <mergeCell ref="G38:G40"/>
    <mergeCell ref="H38:J40"/>
    <mergeCell ref="G41:G43"/>
    <mergeCell ref="G44:G45"/>
    <mergeCell ref="H44:J45"/>
    <mergeCell ref="H41:J43"/>
    <mergeCell ref="N144:O148"/>
    <mergeCell ref="G236:G237"/>
    <mergeCell ref="G169:J169"/>
    <mergeCell ref="G170:J170"/>
    <mergeCell ref="G171:J171"/>
    <mergeCell ref="G172:J172"/>
    <mergeCell ref="G173:J173"/>
    <mergeCell ref="L169:O169"/>
    <mergeCell ref="L170:O170"/>
    <mergeCell ref="L171:O171"/>
    <mergeCell ref="G221:G222"/>
    <mergeCell ref="G178:J178"/>
    <mergeCell ref="G179:J179"/>
    <mergeCell ref="G180:J180"/>
    <mergeCell ref="G181:J181"/>
    <mergeCell ref="G182:J182"/>
    <mergeCell ref="L181:O181"/>
    <mergeCell ref="L182:O182"/>
    <mergeCell ref="L196:O196"/>
    <mergeCell ref="L197:O197"/>
    <mergeCell ref="L198:O198"/>
    <mergeCell ref="L172:O172"/>
    <mergeCell ref="L173:O173"/>
    <mergeCell ref="L178:O178"/>
    <mergeCell ref="L179:O179"/>
    <mergeCell ref="L180:O180"/>
    <mergeCell ref="K30:L34"/>
    <mergeCell ref="N32:O32"/>
    <mergeCell ref="N34:O34"/>
    <mergeCell ref="K92:O92"/>
    <mergeCell ref="K44:N44"/>
    <mergeCell ref="N61:O65"/>
    <mergeCell ref="K67:O67"/>
    <mergeCell ref="N86:O90"/>
    <mergeCell ref="L200:O200"/>
    <mergeCell ref="K199:K200"/>
    <mergeCell ref="F202:F203"/>
    <mergeCell ref="K272:K276"/>
    <mergeCell ref="G275:J275"/>
    <mergeCell ref="G263:I263"/>
    <mergeCell ref="J263:J267"/>
    <mergeCell ref="G203:J203"/>
    <mergeCell ref="L267:O267"/>
    <mergeCell ref="G266:I266"/>
    <mergeCell ref="L266:O266"/>
    <mergeCell ref="H222:O222"/>
  </mergeCells>
  <phoneticPr fontId="22"/>
  <conditionalFormatting sqref="L67 L92">
    <cfRule type="expression" dxfId="66" priority="76" stopIfTrue="1">
      <formula>P59&gt;0</formula>
    </cfRule>
  </conditionalFormatting>
  <conditionalFormatting sqref="O67 O92">
    <cfRule type="expression" dxfId="65" priority="77" stopIfTrue="1">
      <formula>Q59&gt;0</formula>
    </cfRule>
  </conditionalFormatting>
  <conditionalFormatting sqref="K18 K262">
    <cfRule type="expression" dxfId="64" priority="78" stopIfTrue="1">
      <formula>AND(OR(K18&lt;1,K18&gt;5),K18&lt;&gt;0)</formula>
    </cfRule>
    <cfRule type="expression" dxfId="63" priority="79" stopIfTrue="1">
      <formula>$O17&gt;0</formula>
    </cfRule>
  </conditionalFormatting>
  <conditionalFormatting sqref="K67 K92">
    <cfRule type="expression" dxfId="62" priority="80" stopIfTrue="1">
      <formula>J59&gt;0</formula>
    </cfRule>
  </conditionalFormatting>
  <conditionalFormatting sqref="F8 F18 F51 F60 F85 F143 F262 F271">
    <cfRule type="expression" dxfId="61" priority="83" stopIfTrue="1">
      <formula>AND(OR(F8&lt;1,F8&gt;5),F8&lt;&gt;0)</formula>
    </cfRule>
    <cfRule type="expression" dxfId="60" priority="84" stopIfTrue="1">
      <formula>$J7&gt;0</formula>
    </cfRule>
  </conditionalFormatting>
  <conditionalFormatting sqref="M92:N92 M67:N67">
    <cfRule type="expression" dxfId="59" priority="85" stopIfTrue="1">
      <formula>#REF!&gt;0</formula>
    </cfRule>
  </conditionalFormatting>
  <conditionalFormatting sqref="G37">
    <cfRule type="expression" dxfId="58" priority="86" stopIfTrue="1">
      <formula>$J$28&gt;0</formula>
    </cfRule>
  </conditionalFormatting>
  <conditionalFormatting sqref="K168">
    <cfRule type="expression" dxfId="57" priority="58" stopIfTrue="1">
      <formula>AND(OR(K168&lt;1,K168&gt;5),K168&lt;&gt;0)</formula>
    </cfRule>
    <cfRule type="expression" dxfId="56" priority="59" stopIfTrue="1">
      <formula>$O167&gt;0</formula>
    </cfRule>
  </conditionalFormatting>
  <conditionalFormatting sqref="F168">
    <cfRule type="expression" dxfId="55" priority="60" stopIfTrue="1">
      <formula>AND(OR(F168&lt;1,F168&gt;5),F168&lt;&gt;0)</formula>
    </cfRule>
    <cfRule type="expression" dxfId="54" priority="61" stopIfTrue="1">
      <formula>$J167&gt;0</formula>
    </cfRule>
  </conditionalFormatting>
  <conditionalFormatting sqref="K177">
    <cfRule type="expression" dxfId="53" priority="54" stopIfTrue="1">
      <formula>AND(OR(K177&lt;1,K177&gt;5),K177&lt;&gt;0)</formula>
    </cfRule>
    <cfRule type="expression" dxfId="52" priority="55" stopIfTrue="1">
      <formula>$O176&gt;0</formula>
    </cfRule>
  </conditionalFormatting>
  <conditionalFormatting sqref="F177">
    <cfRule type="expression" dxfId="51" priority="56" stopIfTrue="1">
      <formula>AND(OR(F177&lt;1,F177&gt;5),F177&lt;&gt;0)</formula>
    </cfRule>
    <cfRule type="expression" dxfId="50" priority="57" stopIfTrue="1">
      <formula>$J176&gt;0</formula>
    </cfRule>
  </conditionalFormatting>
  <conditionalFormatting sqref="F195:F203">
    <cfRule type="expression" dxfId="49" priority="129" stopIfTrue="1">
      <formula>AND($J$185&gt;0,$H$192=$T$3)</formula>
    </cfRule>
  </conditionalFormatting>
  <conditionalFormatting sqref="H222">
    <cfRule type="expression" dxfId="48" priority="27" stopIfTrue="1">
      <formula>AND($J$80&gt;0,$G$95=1)</formula>
    </cfRule>
  </conditionalFormatting>
  <conditionalFormatting sqref="G38:G45">
    <cfRule type="expression" dxfId="47" priority="182" stopIfTrue="1">
      <formula>$G$37=$S$3</formula>
    </cfRule>
    <cfRule type="expression" dxfId="46" priority="183" stopIfTrue="1">
      <formula>$J$28&gt;0.001</formula>
    </cfRule>
  </conditionalFormatting>
  <conditionalFormatting sqref="G203:J203">
    <cfRule type="expression" dxfId="45" priority="26">
      <formula>F202=$S$3</formula>
    </cfRule>
  </conditionalFormatting>
  <conditionalFormatting sqref="L200:O200">
    <cfRule type="expression" dxfId="44" priority="25">
      <formula>K199=$S$3</formula>
    </cfRule>
  </conditionalFormatting>
  <conditionalFormatting sqref="F192">
    <cfRule type="expression" dxfId="43" priority="20" stopIfTrue="1">
      <formula>AND(OR(F192&lt;1,F192&gt;5),F192&lt;&gt;0)</formula>
    </cfRule>
    <cfRule type="expression" dxfId="42" priority="21" stopIfTrue="1">
      <formula>AND(J185&gt;0,H192=$T$4)</formula>
    </cfRule>
  </conditionalFormatting>
  <conditionalFormatting sqref="H192">
    <cfRule type="expression" dxfId="41" priority="19">
      <formula>J185&gt;0</formula>
    </cfRule>
  </conditionalFormatting>
  <conditionalFormatting sqref="M192">
    <cfRule type="expression" dxfId="40" priority="18">
      <formula>O185&gt;0</formula>
    </cfRule>
  </conditionalFormatting>
  <conditionalFormatting sqref="K192">
    <cfRule type="expression" dxfId="39" priority="16" stopIfTrue="1">
      <formula>AND(OR(K192&lt;1,K192&gt;5),K192&lt;&gt;0)</formula>
    </cfRule>
    <cfRule type="expression" dxfId="38" priority="17" stopIfTrue="1">
      <formula>AND(O185&gt;0,M192=$T$4)</formula>
    </cfRule>
  </conditionalFormatting>
  <conditionalFormatting sqref="H214">
    <cfRule type="expression" dxfId="37" priority="13">
      <formula>J207&gt;0</formula>
    </cfRule>
  </conditionalFormatting>
  <conditionalFormatting sqref="K195:K200">
    <cfRule type="expression" dxfId="36" priority="12">
      <formula>AND($O$185&gt;0,$M$192=$T$3)</formula>
    </cfRule>
  </conditionalFormatting>
  <conditionalFormatting sqref="G217:G222">
    <cfRule type="expression" dxfId="35" priority="11">
      <formula>AND($J$207&gt;0,$H$214=$T$3)</formula>
    </cfRule>
  </conditionalFormatting>
  <conditionalFormatting sqref="G238:G257">
    <cfRule type="expression" dxfId="34" priority="217" stopIfTrue="1">
      <formula>AND($J$227&gt;0,$H$234=$T$3)</formula>
    </cfRule>
  </conditionalFormatting>
  <conditionalFormatting sqref="F214">
    <cfRule type="expression" dxfId="33" priority="9" stopIfTrue="1">
      <formula>AND(OR(F214&lt;1,F214&gt;5),F214&lt;&gt;0)</formula>
    </cfRule>
    <cfRule type="expression" dxfId="32" priority="10" stopIfTrue="1">
      <formula>AND(J207&gt;0,H214=$T$4)</formula>
    </cfRule>
  </conditionalFormatting>
  <conditionalFormatting sqref="F234">
    <cfRule type="expression" dxfId="31" priority="7" stopIfTrue="1">
      <formula>AND(OR(F234&lt;1,F234&gt;5),F234&lt;&gt;0)</formula>
    </cfRule>
    <cfRule type="expression" dxfId="30" priority="8" stopIfTrue="1">
      <formula>AND(J227&gt;0,H234=$T$4)</formula>
    </cfRule>
  </conditionalFormatting>
  <conditionalFormatting sqref="H234">
    <cfRule type="expression" dxfId="29" priority="6">
      <formula>J227&gt;0</formula>
    </cfRule>
  </conditionalFormatting>
  <conditionalFormatting sqref="G161:G164">
    <cfRule type="expression" dxfId="28" priority="222" stopIfTrue="1">
      <formula>AND($J$151&gt;0.001,$H$158=$T$3)</formula>
    </cfRule>
  </conditionalFormatting>
  <conditionalFormatting sqref="F158">
    <cfRule type="expression" dxfId="27" priority="4" stopIfTrue="1">
      <formula>AND(OR(F158&lt;1,F158&gt;5),F158&lt;&gt;0)</formula>
    </cfRule>
    <cfRule type="expression" dxfId="26" priority="5" stopIfTrue="1">
      <formula>AND(J151&gt;0,H158=$T$4)</formula>
    </cfRule>
  </conditionalFormatting>
  <conditionalFormatting sqref="H158">
    <cfRule type="expression" dxfId="25" priority="3">
      <formula>J151&gt;0</formula>
    </cfRule>
  </conditionalFormatting>
  <conditionalFormatting sqref="H222:O222">
    <cfRule type="expression" dxfId="24" priority="1">
      <formula>AND($J$207&gt;0,$G$221=$S$3)</formula>
    </cfRule>
  </conditionalFormatting>
  <dataValidations count="11">
    <dataValidation type="list" allowBlank="1" showInputMessage="1" sqref="K18 K262 M29 K168 K177">
      <formula1>$C19:$C24</formula1>
    </dataValidation>
    <dataValidation type="list" allowBlank="1" showInputMessage="1" showErrorMessage="1" sqref="G161:G164">
      <formula1>"○,　"</formula1>
    </dataValidation>
    <dataValidation type="list" allowBlank="1" showInputMessage="1" showErrorMessage="1" sqref="G238:G257">
      <formula1>"　,無"</formula1>
    </dataValidation>
    <dataValidation type="list" allowBlank="1" showInputMessage="1" sqref="F8 F18 F51 F60 F85 F143 F262 F271 F168 F177">
      <formula1>$B9:$B14</formula1>
    </dataValidation>
    <dataValidation type="list" allowBlank="1" showInputMessage="1" showErrorMessage="1" sqref="G38:G43">
      <formula1>$B$38:$B$41</formula1>
    </dataValidation>
    <dataValidation type="list" allowBlank="1" showInputMessage="1" showErrorMessage="1" sqref="G44:G45">
      <formula1>$C$38:$C$47</formula1>
    </dataValidation>
    <dataValidation type="list" allowBlank="1" showInputMessage="1" sqref="G37">
      <formula1>$S$2:$S$3</formula1>
    </dataValidation>
    <dataValidation type="list" allowBlank="1" showInputMessage="1" showErrorMessage="1" sqref="H234 H214 M192 H192 H158">
      <formula1>$T$3:$T$4</formula1>
    </dataValidation>
    <dataValidation type="list" allowBlank="1" showInputMessage="1" showErrorMessage="1" sqref="G217:G221 K195:K199 F195:F202">
      <formula1>$S$3:$S$4</formula1>
    </dataValidation>
    <dataValidation type="list" allowBlank="1" showInputMessage="1" sqref="F192 F214 F234 F158">
      <formula1>$B153:$B158</formula1>
    </dataValidation>
    <dataValidation type="list" allowBlank="1" showInputMessage="1" sqref="K192">
      <formula1>$C$187:$C$192</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4" manualBreakCount="4">
    <brk id="48" min="2" max="15" man="1"/>
    <brk id="82" min="2" max="15" man="1"/>
    <brk id="140" min="2" max="15" man="1"/>
    <brk id="258" min="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fitToPage="1"/>
  </sheetPr>
  <dimension ref="B1:Y264"/>
  <sheetViews>
    <sheetView showGridLines="0" zoomScaleNormal="100" zoomScaleSheetLayoutView="100" workbookViewId="0">
      <selection activeCell="M7" sqref="M7"/>
    </sheetView>
  </sheetViews>
  <sheetFormatPr defaultColWidth="0" defaultRowHeight="13" zeroHeight="1"/>
  <cols>
    <col min="1" max="1" width="1.453125" customWidth="1"/>
    <col min="2" max="3" width="4.7265625" hidden="1" customWidth="1"/>
    <col min="4" max="4" width="4.7265625" style="2014" customWidth="1"/>
    <col min="5" max="5" width="1.90625" style="2014" customWidth="1"/>
    <col min="6" max="15" width="10.6328125" style="2014" customWidth="1"/>
    <col min="16" max="16" width="2.08984375" customWidth="1"/>
    <col min="17" max="17" width="6.36328125" hidden="1" customWidth="1"/>
    <col min="18" max="18" width="11.90625" hidden="1" customWidth="1"/>
    <col min="19" max="20" width="10.26953125" hidden="1" customWidth="1"/>
    <col min="21" max="21" width="13" hidden="1" customWidth="1"/>
    <col min="22" max="22" width="9.6328125" hidden="1" customWidth="1"/>
    <col min="23" max="23" width="3.453125" hidden="1" customWidth="1"/>
    <col min="24" max="24" width="0" hidden="1" customWidth="1"/>
    <col min="25" max="25" width="10.453125" hidden="1" customWidth="1"/>
  </cols>
  <sheetData>
    <row r="1" spans="4:21" ht="21.75" customHeight="1">
      <c r="D1" s="1589"/>
      <c r="E1" s="904"/>
      <c r="F1" s="904"/>
      <c r="G1" s="904"/>
      <c r="H1" s="904"/>
      <c r="I1" s="904"/>
      <c r="J1" s="904"/>
      <c r="K1" s="904"/>
      <c r="M1" s="1571" t="s">
        <v>2697</v>
      </c>
      <c r="N1" s="906" t="str">
        <f>メイン!C11</f>
        <v>○○ビル</v>
      </c>
      <c r="O1" s="907"/>
      <c r="R1" s="2687" t="s">
        <v>1335</v>
      </c>
    </row>
    <row r="2" spans="4:21" ht="10.5" customHeight="1" thickBot="1">
      <c r="D2" s="903"/>
      <c r="E2" s="1061"/>
      <c r="F2" s="1061"/>
      <c r="G2" s="1061"/>
      <c r="H2" s="1061"/>
      <c r="I2" s="1061"/>
      <c r="J2" s="1061"/>
      <c r="K2" s="1061"/>
      <c r="L2" s="1061"/>
      <c r="O2" s="1061"/>
    </row>
    <row r="3" spans="4:21" ht="18.5" thickBot="1">
      <c r="D3" s="1388" t="s">
        <v>1163</v>
      </c>
      <c r="E3" s="1296"/>
      <c r="F3" s="2038"/>
      <c r="G3" s="909"/>
      <c r="H3" s="2038"/>
      <c r="I3" s="911"/>
      <c r="J3" s="912" t="s">
        <v>2576</v>
      </c>
      <c r="K3" s="912"/>
      <c r="L3" s="2039"/>
      <c r="O3" s="1325" t="str">
        <f>IF(メイン!E39=0,"",メイン!E39)</f>
        <v/>
      </c>
      <c r="R3" s="2687" t="s">
        <v>1361</v>
      </c>
      <c r="T3" t="s">
        <v>3340</v>
      </c>
      <c r="U3" t="str">
        <f>メイン!I37</f>
        <v>基本設計段階</v>
      </c>
    </row>
    <row r="4" spans="4:21" ht="8.25" customHeight="1">
      <c r="D4" s="908"/>
      <c r="E4" s="1296"/>
      <c r="F4" s="2038"/>
      <c r="G4" s="909"/>
      <c r="H4" s="2038"/>
      <c r="I4" s="2038"/>
      <c r="J4" s="2038"/>
      <c r="K4" s="2038"/>
      <c r="L4" s="2038"/>
      <c r="M4" s="2038"/>
      <c r="N4" s="2038"/>
      <c r="O4" s="2038"/>
      <c r="S4">
        <v>0</v>
      </c>
      <c r="T4" t="s">
        <v>3343</v>
      </c>
      <c r="U4" t="str">
        <f>メイン!I38</f>
        <v>実施設計段階</v>
      </c>
    </row>
    <row r="5" spans="4:21" ht="21.75" customHeight="1">
      <c r="D5" s="1326">
        <v>1</v>
      </c>
      <c r="E5" s="915" t="s">
        <v>2626</v>
      </c>
      <c r="F5" s="2017"/>
      <c r="G5" s="1140"/>
      <c r="H5" s="1140"/>
      <c r="I5" s="1140"/>
      <c r="J5" s="999" t="e">
        <f>IF(OR(F7=0,J6=0),$R$3,"")</f>
        <v>#DIV/0!</v>
      </c>
      <c r="K5" s="1140"/>
      <c r="L5" s="1140"/>
      <c r="M5" s="1140"/>
      <c r="N5" s="1140"/>
      <c r="O5" s="2039"/>
      <c r="S5">
        <v>1</v>
      </c>
      <c r="U5" t="str">
        <f>メイン!I39</f>
        <v>竣工段階</v>
      </c>
    </row>
    <row r="6" spans="4:21" ht="16" thickBot="1">
      <c r="D6" s="1572"/>
      <c r="E6" s="1140"/>
      <c r="F6" s="1065"/>
      <c r="G6" s="924"/>
      <c r="H6" s="925" t="s">
        <v>1364</v>
      </c>
      <c r="I6" s="926"/>
      <c r="J6" s="927" t="e">
        <f>重み!M173</f>
        <v>#DIV/0!</v>
      </c>
      <c r="K6" s="1066"/>
      <c r="L6" s="1066"/>
      <c r="M6" s="1066"/>
      <c r="N6" s="1066"/>
      <c r="O6" s="936"/>
      <c r="S6">
        <v>2</v>
      </c>
    </row>
    <row r="7" spans="4:21" ht="27" customHeight="1" thickBot="1">
      <c r="D7" s="2040"/>
      <c r="E7" s="908"/>
      <c r="F7" s="2051">
        <f>IF(H17=$T3,O15,F17)</f>
        <v>0</v>
      </c>
      <c r="G7" s="2259" t="s">
        <v>835</v>
      </c>
      <c r="H7" s="1339"/>
      <c r="I7" s="1339"/>
      <c r="J7" s="1339"/>
      <c r="K7" s="1339"/>
      <c r="L7" s="2260"/>
      <c r="M7" s="1339"/>
      <c r="N7" s="1339"/>
      <c r="O7" s="1166"/>
      <c r="S7" t="s">
        <v>1378</v>
      </c>
    </row>
    <row r="8" spans="4:21" ht="17.25" customHeight="1">
      <c r="D8" s="2040"/>
      <c r="E8" s="908"/>
      <c r="F8" s="1149" t="str">
        <f>IF(F7=$S$15,$T$10,IF(ROUNDDOWN(F7,0)=$S$10,$U$10,$T$10))</f>
        <v>　レベル　1</v>
      </c>
      <c r="G8" s="2256" t="s">
        <v>1379</v>
      </c>
      <c r="H8" s="2257"/>
      <c r="I8" s="2257"/>
      <c r="J8" s="2257"/>
      <c r="K8" s="2257"/>
      <c r="L8" s="2261"/>
      <c r="M8" s="2257"/>
      <c r="N8" s="1534"/>
      <c r="O8" s="1535"/>
      <c r="S8" t="s">
        <v>1295</v>
      </c>
    </row>
    <row r="9" spans="4:21" ht="17.25" customHeight="1">
      <c r="D9" s="2040"/>
      <c r="E9" s="908"/>
      <c r="F9" s="1149" t="str">
        <f>IF(F7=$S$15,$T$11,IF(ROUNDDOWN(F7,0)=$S$11,$U$11,$T$11))</f>
        <v>　レベル　2</v>
      </c>
      <c r="G9" s="2262"/>
      <c r="H9" s="2255"/>
      <c r="I9" s="2255"/>
      <c r="J9" s="2255"/>
      <c r="K9" s="2255"/>
      <c r="L9" s="2263"/>
      <c r="M9" s="2255"/>
      <c r="N9" s="1553" t="s">
        <v>1046</v>
      </c>
      <c r="O9" s="1554"/>
    </row>
    <row r="10" spans="4:21" ht="17.25" customHeight="1">
      <c r="D10" s="2040"/>
      <c r="E10" s="908"/>
      <c r="F10" s="1149" t="str">
        <f>IF(F7=$S$15,$T$12,IF(ROUNDDOWN(F7,0)=$S$12,$U$12,$T$12))</f>
        <v>　レベル　3</v>
      </c>
      <c r="G10" s="2262" t="s">
        <v>1380</v>
      </c>
      <c r="H10" s="2255"/>
      <c r="I10" s="2255"/>
      <c r="J10" s="2255"/>
      <c r="K10" s="2255"/>
      <c r="L10" s="2263"/>
      <c r="M10" s="2255"/>
      <c r="N10" s="1553" t="s">
        <v>1047</v>
      </c>
      <c r="O10" s="1554"/>
      <c r="S10">
        <v>1</v>
      </c>
      <c r="T10" t="s">
        <v>2590</v>
      </c>
      <c r="U10" t="s">
        <v>2591</v>
      </c>
    </row>
    <row r="11" spans="4:21" ht="17.25" customHeight="1">
      <c r="D11" s="2040"/>
      <c r="E11" s="908"/>
      <c r="F11" s="1149" t="str">
        <f>IF(F7=$S$15,$T$13,IF(ROUNDDOWN(F7,0)=$S$13,$U$13,$T$13))</f>
        <v>　レベル　4</v>
      </c>
      <c r="G11" s="2262"/>
      <c r="H11" s="2255"/>
      <c r="I11" s="2255"/>
      <c r="J11" s="2255"/>
      <c r="K11" s="2255"/>
      <c r="L11" s="2263"/>
      <c r="M11" s="2255"/>
      <c r="N11" s="1553" t="s">
        <v>1048</v>
      </c>
      <c r="O11" s="1554"/>
      <c r="S11">
        <v>2</v>
      </c>
      <c r="T11" t="s">
        <v>1336</v>
      </c>
      <c r="U11" t="s">
        <v>1337</v>
      </c>
    </row>
    <row r="12" spans="4:21" ht="17.25" customHeight="1">
      <c r="D12" s="2040"/>
      <c r="E12" s="908"/>
      <c r="F12" s="1150" t="str">
        <f>IF(F7=$S$15,$T$14,IF(ROUNDDOWN(F7,0)=$S$14,$U$14,$T$14))</f>
        <v>　レベル　5</v>
      </c>
      <c r="G12" s="2264" t="s">
        <v>1051</v>
      </c>
      <c r="H12" s="2258"/>
      <c r="I12" s="2258"/>
      <c r="J12" s="2258"/>
      <c r="K12" s="2258"/>
      <c r="L12" s="2265"/>
      <c r="M12" s="2258"/>
      <c r="N12" s="1539"/>
      <c r="O12" s="1540"/>
      <c r="S12">
        <v>3</v>
      </c>
      <c r="T12" t="s">
        <v>1342</v>
      </c>
      <c r="U12" t="s">
        <v>1343</v>
      </c>
    </row>
    <row r="13" spans="4:21" ht="15.5">
      <c r="D13" s="2040"/>
      <c r="E13" s="2040"/>
      <c r="F13" s="2040"/>
      <c r="G13" s="1575" t="s">
        <v>1371</v>
      </c>
      <c r="H13" s="1284"/>
      <c r="I13" s="1284"/>
      <c r="J13" s="1061"/>
      <c r="K13" s="1576" t="s">
        <v>1372</v>
      </c>
      <c r="L13" s="1061"/>
      <c r="M13" s="1577"/>
      <c r="N13" s="2040"/>
      <c r="O13" s="2040"/>
      <c r="S13">
        <v>4</v>
      </c>
      <c r="T13" t="s">
        <v>1221</v>
      </c>
      <c r="U13" t="s">
        <v>1222</v>
      </c>
    </row>
    <row r="14" spans="4:21" ht="16" thickBot="1">
      <c r="D14" s="2040"/>
      <c r="E14" s="908"/>
      <c r="F14" s="904"/>
      <c r="G14" s="1578"/>
      <c r="H14" s="1579" t="s">
        <v>726</v>
      </c>
      <c r="I14" s="1580" t="s">
        <v>2171</v>
      </c>
      <c r="J14" s="1581" t="s">
        <v>728</v>
      </c>
      <c r="K14" s="1579" t="s">
        <v>480</v>
      </c>
      <c r="L14" s="1578" t="s">
        <v>1052</v>
      </c>
      <c r="M14" s="904"/>
      <c r="N14" s="904"/>
      <c r="O14" s="1582" t="s">
        <v>1217</v>
      </c>
      <c r="S14">
        <v>5</v>
      </c>
      <c r="T14" t="s">
        <v>1228</v>
      </c>
      <c r="U14" t="s">
        <v>1229</v>
      </c>
    </row>
    <row r="15" spans="4:21" ht="16" thickBot="1">
      <c r="D15" s="2040"/>
      <c r="E15" s="908"/>
      <c r="F15" s="904"/>
      <c r="G15" s="1583" t="s">
        <v>2396</v>
      </c>
      <c r="H15" s="1584">
        <f>IF(メイン!I3=3,'条件(個別)'!D9,'条件(標準)'!D9)</f>
        <v>0</v>
      </c>
      <c r="I15" s="1584">
        <f>IF(メイン!I3=3,'条件(個別)'!D34,'条件(標準)'!D34)</f>
        <v>0</v>
      </c>
      <c r="J15" s="1584">
        <f>IF(メイン!I3=3,'条件(個別)'!D46,'条件(標準)'!D46)</f>
        <v>0</v>
      </c>
      <c r="K15" s="1585">
        <f>H15+I15+J15</f>
        <v>0</v>
      </c>
      <c r="L15" s="1586">
        <v>1</v>
      </c>
      <c r="M15" s="904"/>
      <c r="N15" s="1582" t="s">
        <v>1053</v>
      </c>
      <c r="O15" s="1587">
        <f>IF(K15=0,0,ROUNDDOWN(IF(L16=R16,0,IF(L16&lt;0.5,5,IF(L16&gt;1.25,1,IF(L16&gt;1,-8*L16+11,3+(1-L16)*4)))),1))</f>
        <v>0</v>
      </c>
      <c r="S15">
        <v>0</v>
      </c>
      <c r="T15" t="s">
        <v>1218</v>
      </c>
      <c r="U15" t="s">
        <v>1218</v>
      </c>
    </row>
    <row r="16" spans="4:21" ht="14.5" thickBot="1">
      <c r="D16" s="1589"/>
      <c r="E16" s="904"/>
      <c r="F16" s="904"/>
      <c r="G16" s="1583" t="s">
        <v>2395</v>
      </c>
      <c r="H16" s="1584">
        <f>IF(メイン!I3=3,'条件(個別)'!E9,'条件(標準)'!E9)</f>
        <v>0</v>
      </c>
      <c r="I16" s="1584">
        <f>IF(メイン!I3=3,'条件(個別)'!E34,'条件(標準)'!E34)</f>
        <v>0</v>
      </c>
      <c r="J16" s="1584">
        <f>IF(メイン!I3=3,'条件(個別)'!E52,'条件(標準)'!E52)</f>
        <v>0</v>
      </c>
      <c r="K16" s="1585">
        <f>H16+I16+J16</f>
        <v>0</v>
      </c>
      <c r="L16" s="1588" t="e">
        <f>IF(K15=R16,R16,K16/K15)</f>
        <v>#DIV/0!</v>
      </c>
      <c r="M16" s="904"/>
      <c r="N16" s="904"/>
      <c r="O16" s="904"/>
      <c r="R16" t="s">
        <v>1219</v>
      </c>
    </row>
    <row r="17" spans="2:15" s="2687" customFormat="1" ht="14.5" thickBot="1">
      <c r="D17" s="1589"/>
      <c r="E17" s="904"/>
      <c r="F17" s="930">
        <v>0</v>
      </c>
      <c r="G17" s="1158" t="s">
        <v>2666</v>
      </c>
      <c r="H17" s="3055" t="s">
        <v>3339</v>
      </c>
      <c r="I17" s="904"/>
      <c r="J17" s="904"/>
      <c r="K17" s="2858"/>
      <c r="L17" s="904"/>
      <c r="M17" s="904"/>
      <c r="N17" s="904"/>
      <c r="O17" s="904"/>
    </row>
    <row r="18" spans="2:15">
      <c r="D18" s="559"/>
      <c r="E18" s="559"/>
      <c r="I18" s="559"/>
      <c r="J18" s="559"/>
      <c r="K18" s="559"/>
      <c r="L18" s="559"/>
      <c r="M18" s="559"/>
      <c r="N18" s="559"/>
      <c r="O18" s="559"/>
    </row>
    <row r="19" spans="2:15" ht="18.75" customHeight="1">
      <c r="D19" s="1589">
        <v>2</v>
      </c>
      <c r="E19" s="915" t="s">
        <v>2629</v>
      </c>
      <c r="F19" s="904"/>
      <c r="G19" s="904"/>
      <c r="H19" s="904"/>
      <c r="I19" s="904"/>
      <c r="J19" s="904"/>
      <c r="K19" s="904"/>
      <c r="L19" s="904"/>
      <c r="M19" s="904"/>
      <c r="N19" s="904"/>
      <c r="O19" s="904"/>
    </row>
    <row r="20" spans="2:15" ht="18.75" customHeight="1">
      <c r="D20" s="1590">
        <v>2.1</v>
      </c>
      <c r="E20" s="1296" t="s">
        <v>1054</v>
      </c>
      <c r="F20" s="2017"/>
      <c r="G20" s="904"/>
      <c r="H20" s="904"/>
      <c r="I20" s="904"/>
      <c r="J20" s="999" t="e">
        <f>IF(OR(F22=0,J21=0),$R$3,"")</f>
        <v>#DIV/0!</v>
      </c>
      <c r="K20" s="904"/>
      <c r="L20" s="904"/>
      <c r="M20" s="904"/>
      <c r="N20" s="904"/>
      <c r="O20" s="904"/>
    </row>
    <row r="21" spans="2:15" ht="18.75" customHeight="1" thickBot="1">
      <c r="F21" s="1065"/>
      <c r="G21" s="924"/>
      <c r="H21" s="925" t="s">
        <v>1364</v>
      </c>
      <c r="I21" s="926"/>
      <c r="J21" s="927" t="e">
        <f>重み!M175</f>
        <v>#DIV/0!</v>
      </c>
      <c r="K21" s="1066"/>
      <c r="L21" s="1066"/>
      <c r="M21" s="1066"/>
      <c r="N21" s="1066"/>
      <c r="O21" s="936"/>
    </row>
    <row r="22" spans="2:15" ht="27" customHeight="1" thickBot="1">
      <c r="D22" s="908"/>
      <c r="E22" s="908"/>
      <c r="F22" s="930">
        <v>3</v>
      </c>
      <c r="G22" s="934" t="s">
        <v>502</v>
      </c>
      <c r="H22" s="935"/>
      <c r="I22" s="935"/>
      <c r="J22" s="935"/>
      <c r="K22" s="935"/>
      <c r="L22" s="1264"/>
      <c r="M22" s="935"/>
      <c r="N22" s="935"/>
      <c r="O22" s="936"/>
    </row>
    <row r="23" spans="2:15" ht="33" customHeight="1">
      <c r="B23" s="1">
        <v>1</v>
      </c>
      <c r="C23" s="1">
        <v>1</v>
      </c>
      <c r="D23" s="908"/>
      <c r="E23" s="908"/>
      <c r="F23" s="942" t="str">
        <f>IF(F22=$S$15,$T$10,IF(ROUNDDOWN(F22,0)=$S$10,$U$10,$T$10))</f>
        <v>　レベル　1</v>
      </c>
      <c r="G23" s="3144" t="s">
        <v>438</v>
      </c>
      <c r="H23" s="3566"/>
      <c r="I23" s="3566"/>
      <c r="J23" s="3566"/>
      <c r="K23" s="3566"/>
      <c r="L23" s="3566"/>
      <c r="M23" s="3566"/>
      <c r="N23" s="3566"/>
      <c r="O23" s="3567"/>
    </row>
    <row r="24" spans="2:15" ht="21" customHeight="1">
      <c r="B24" s="1" t="s">
        <v>228</v>
      </c>
      <c r="C24" s="1">
        <v>2</v>
      </c>
      <c r="D24" s="908"/>
      <c r="E24" s="908"/>
      <c r="F24" s="942" t="str">
        <f>IF(F22=$S$15,$T$11,IF(ROUNDDOWN(F22,0)=$S$11,$U$11,$T$11))</f>
        <v>　レベル　2</v>
      </c>
      <c r="G24" s="1573" t="s">
        <v>2178</v>
      </c>
      <c r="H24" s="2228"/>
      <c r="I24" s="2228"/>
      <c r="J24" s="2228"/>
      <c r="K24" s="2228"/>
      <c r="L24" s="2228"/>
      <c r="M24" s="2228"/>
      <c r="N24" s="947"/>
      <c r="O24" s="948"/>
    </row>
    <row r="25" spans="2:15" ht="28.5" customHeight="1">
      <c r="B25" s="1">
        <v>3</v>
      </c>
      <c r="C25" s="1">
        <v>3</v>
      </c>
      <c r="D25" s="908"/>
      <c r="E25" s="908"/>
      <c r="F25" s="942" t="str">
        <f>IF(F22=$S$15,$T$12,IF(ROUNDDOWN(F22,0)=$S$12,$U$12,$T$12))</f>
        <v>■レベル　3</v>
      </c>
      <c r="G25" s="3568" t="s">
        <v>439</v>
      </c>
      <c r="H25" s="3171"/>
      <c r="I25" s="3171"/>
      <c r="J25" s="3171"/>
      <c r="K25" s="3171"/>
      <c r="L25" s="3171"/>
      <c r="M25" s="3171"/>
      <c r="N25" s="3171"/>
      <c r="O25" s="3172"/>
    </row>
    <row r="26" spans="2:15" ht="27" customHeight="1">
      <c r="B26" s="1">
        <v>4</v>
      </c>
      <c r="C26" s="1">
        <v>4</v>
      </c>
      <c r="D26" s="908"/>
      <c r="E26" s="908"/>
      <c r="F26" s="942" t="str">
        <f>IF(F22=$S$15,$T$13,IF(ROUNDDOWN(F22,0)=$S$13,$U$13,$T$13))</f>
        <v>　レベル　4</v>
      </c>
      <c r="G26" s="3568" t="s">
        <v>440</v>
      </c>
      <c r="H26" s="3171"/>
      <c r="I26" s="3171"/>
      <c r="J26" s="3171"/>
      <c r="K26" s="3171"/>
      <c r="L26" s="3171"/>
      <c r="M26" s="3171"/>
      <c r="N26" s="3171"/>
      <c r="O26" s="3172"/>
    </row>
    <row r="27" spans="2:15" ht="22.5" customHeight="1">
      <c r="B27" s="1">
        <v>5</v>
      </c>
      <c r="C27" s="1">
        <v>5</v>
      </c>
      <c r="D27" s="908"/>
      <c r="E27" s="908"/>
      <c r="F27" s="953" t="str">
        <f>IF(F22=$S$15,$T$14,IF(ROUNDDOWN(F22,0)=$S$14,$U$14,$T$14))</f>
        <v>　レベル　5</v>
      </c>
      <c r="G27" s="1574" t="s">
        <v>1202</v>
      </c>
      <c r="H27" s="2229"/>
      <c r="I27" s="2229"/>
      <c r="J27" s="2229"/>
      <c r="K27" s="2229"/>
      <c r="L27" s="2229"/>
      <c r="M27" s="2229"/>
      <c r="N27" s="958"/>
      <c r="O27" s="959"/>
    </row>
    <row r="28" spans="2:15" ht="15.5">
      <c r="B28" s="960">
        <v>0</v>
      </c>
      <c r="C28" s="960">
        <v>0</v>
      </c>
      <c r="D28" s="908"/>
      <c r="E28" s="908"/>
      <c r="F28" s="1591"/>
      <c r="G28" s="1591"/>
      <c r="H28" s="1591"/>
      <c r="I28" s="1591"/>
      <c r="J28" s="1591"/>
      <c r="K28" s="1591"/>
      <c r="L28" s="1591"/>
      <c r="M28" s="1591"/>
      <c r="N28" s="1591"/>
      <c r="O28" s="1591"/>
    </row>
    <row r="29" spans="2:15" ht="24" customHeight="1">
      <c r="D29" s="1590">
        <v>2.2000000000000002</v>
      </c>
      <c r="E29" s="1336" t="s">
        <v>1055</v>
      </c>
      <c r="F29" s="1592"/>
      <c r="G29" s="1592"/>
      <c r="H29" s="1592"/>
      <c r="I29" s="1592"/>
      <c r="J29" s="999" t="e">
        <f>IF(OR(F31=0,J30=0),$R$3,"")</f>
        <v>#DIV/0!</v>
      </c>
      <c r="K29" s="1592"/>
      <c r="L29" s="1592"/>
      <c r="M29" s="1592"/>
      <c r="N29" s="1592"/>
      <c r="O29" s="1592"/>
    </row>
    <row r="30" spans="2:15" ht="19.5" customHeight="1" thickBot="1">
      <c r="F30" s="1065"/>
      <c r="G30" s="924"/>
      <c r="H30" s="925" t="s">
        <v>1364</v>
      </c>
      <c r="I30" s="926"/>
      <c r="J30" s="927" t="e">
        <f>重み!M176</f>
        <v>#DIV/0!</v>
      </c>
      <c r="K30" s="1066"/>
      <c r="L30" s="1066"/>
      <c r="M30" s="1066"/>
      <c r="N30" s="1066"/>
      <c r="O30" s="936"/>
    </row>
    <row r="31" spans="2:15" ht="27" customHeight="1" thickBot="1">
      <c r="D31" s="908"/>
      <c r="E31" s="904"/>
      <c r="F31" s="2051">
        <f>IF(H37=T4,F37,IF(H60&lt;=0,1,IF(H60&lt;=5,2,IF(H60&lt;=12,3,IF(H60&lt;=19,4,IF(H60&gt;=20,5))))))</f>
        <v>3</v>
      </c>
      <c r="G31" s="934" t="s">
        <v>502</v>
      </c>
      <c r="H31" s="935"/>
      <c r="I31" s="935"/>
      <c r="J31" s="935"/>
      <c r="K31" s="935"/>
      <c r="L31" s="1264"/>
      <c r="M31" s="935"/>
      <c r="N31" s="935"/>
      <c r="O31" s="936"/>
    </row>
    <row r="32" spans="2:15" ht="21" customHeight="1">
      <c r="B32" s="1">
        <v>1</v>
      </c>
      <c r="C32" s="1">
        <v>1</v>
      </c>
      <c r="D32" s="908"/>
      <c r="E32" s="904"/>
      <c r="F32" s="942" t="str">
        <f>IF(F31=$S$15,$T$10,IF(ROUNDDOWN(F31,0)=$S$10,$U$10,$T$10))</f>
        <v>　レベル　1</v>
      </c>
      <c r="G32" s="1170" t="s">
        <v>1203</v>
      </c>
      <c r="H32" s="1171"/>
      <c r="I32" s="1171"/>
      <c r="J32" s="1171"/>
      <c r="K32" s="1171"/>
      <c r="L32" s="1171"/>
      <c r="M32" s="1171"/>
      <c r="N32" s="940"/>
      <c r="O32" s="941"/>
    </row>
    <row r="33" spans="2:18" ht="21" customHeight="1">
      <c r="B33" s="1">
        <v>2</v>
      </c>
      <c r="C33" s="1">
        <v>2</v>
      </c>
      <c r="D33" s="908"/>
      <c r="E33" s="904"/>
      <c r="F33" s="942" t="str">
        <f>IF(F31=$S$15,$T$11,IF(ROUNDDOWN(F31,0)=$S$11,$U$11,$T$11))</f>
        <v>　レベル　2</v>
      </c>
      <c r="G33" s="1573" t="s">
        <v>1204</v>
      </c>
      <c r="H33" s="2041"/>
      <c r="I33" s="2041"/>
      <c r="J33" s="2041"/>
      <c r="K33" s="2041"/>
      <c r="L33" s="2041"/>
      <c r="M33" s="2041"/>
      <c r="N33" s="947"/>
      <c r="O33" s="948"/>
    </row>
    <row r="34" spans="2:18" ht="21" customHeight="1">
      <c r="B34" s="1">
        <v>3</v>
      </c>
      <c r="C34" s="1">
        <v>3</v>
      </c>
      <c r="D34" s="908"/>
      <c r="E34" s="904"/>
      <c r="F34" s="942" t="str">
        <f>IF(F31=$S$15,$T$12,IF(ROUNDDOWN(F31,0)=$S$12,$U$12,$T$12))</f>
        <v>■レベル　3</v>
      </c>
      <c r="G34" s="1573" t="s">
        <v>2499</v>
      </c>
      <c r="H34" s="2041"/>
      <c r="I34" s="2041"/>
      <c r="J34" s="2041"/>
      <c r="K34" s="2041"/>
      <c r="L34" s="2041"/>
      <c r="M34" s="2041"/>
      <c r="N34" s="947"/>
      <c r="O34" s="948"/>
    </row>
    <row r="35" spans="2:18" ht="21" customHeight="1">
      <c r="B35" s="1">
        <v>4</v>
      </c>
      <c r="C35" s="1">
        <v>4</v>
      </c>
      <c r="D35" s="908"/>
      <c r="E35" s="904"/>
      <c r="F35" s="942" t="str">
        <f>IF(F31=$S$15,$T$13,IF(ROUNDDOWN(F31,0)=$S$13,$U$13,$T$13))</f>
        <v>　レベル　4</v>
      </c>
      <c r="G35" s="1573" t="s">
        <v>2500</v>
      </c>
      <c r="H35" s="2041"/>
      <c r="I35" s="2041"/>
      <c r="J35" s="2041"/>
      <c r="K35" s="2041"/>
      <c r="L35" s="2041"/>
      <c r="M35" s="2041"/>
      <c r="N35" s="947"/>
      <c r="O35" s="948"/>
    </row>
    <row r="36" spans="2:18" ht="21" customHeight="1">
      <c r="B36" s="1">
        <v>5</v>
      </c>
      <c r="C36" s="1">
        <v>5</v>
      </c>
      <c r="D36" s="908"/>
      <c r="E36" s="904"/>
      <c r="F36" s="953" t="str">
        <f>IF(F31=$S$15,$T$14,IF(ROUNDDOWN(F31,0)=$S$14,$U$14,$T$14))</f>
        <v>　レベル　5</v>
      </c>
      <c r="G36" s="1574" t="s">
        <v>2501</v>
      </c>
      <c r="H36" s="2042"/>
      <c r="I36" s="2042"/>
      <c r="J36" s="2042"/>
      <c r="K36" s="2042"/>
      <c r="L36" s="2042"/>
      <c r="M36" s="2042"/>
      <c r="N36" s="958"/>
      <c r="O36" s="959"/>
    </row>
    <row r="37" spans="2:18" s="2687" customFormat="1" ht="19.5" hidden="1" customHeight="1" thickBot="1">
      <c r="B37" s="960">
        <v>0</v>
      </c>
      <c r="C37" s="960">
        <v>0</v>
      </c>
      <c r="D37" s="908"/>
      <c r="E37" s="904"/>
      <c r="F37" s="930">
        <v>0</v>
      </c>
      <c r="G37" s="1158" t="s">
        <v>2666</v>
      </c>
      <c r="H37" s="2777" t="s">
        <v>3339</v>
      </c>
      <c r="I37"/>
      <c r="J37"/>
      <c r="K37"/>
      <c r="L37"/>
      <c r="M37"/>
      <c r="N37"/>
      <c r="O37"/>
    </row>
    <row r="38" spans="2:18" ht="21" customHeight="1">
      <c r="D38" s="1140"/>
      <c r="E38" s="1140"/>
      <c r="F38" s="1140"/>
      <c r="G38" s="1295" t="s">
        <v>2678</v>
      </c>
      <c r="H38" s="1140"/>
      <c r="I38"/>
      <c r="J38"/>
      <c r="K38"/>
      <c r="L38"/>
      <c r="M38"/>
      <c r="N38"/>
      <c r="O38"/>
    </row>
    <row r="39" spans="2:18" ht="16" thickBot="1">
      <c r="D39" s="908"/>
      <c r="E39" s="909"/>
      <c r="F39" s="908"/>
      <c r="G39" s="1297" t="s">
        <v>234</v>
      </c>
      <c r="H39" s="3339" t="s">
        <v>2502</v>
      </c>
      <c r="I39" s="3340"/>
      <c r="J39" s="3341"/>
      <c r="K39" s="3569" t="s">
        <v>1056</v>
      </c>
      <c r="L39" s="3570"/>
      <c r="M39" s="3570"/>
      <c r="N39" s="3571"/>
      <c r="O39" s="1088" t="s">
        <v>2503</v>
      </c>
      <c r="P39" s="132"/>
      <c r="Q39" s="132"/>
      <c r="R39" s="132"/>
    </row>
    <row r="40" spans="2:18" ht="42" customHeight="1">
      <c r="D40" s="908"/>
      <c r="E40" s="909"/>
      <c r="F40" s="908"/>
      <c r="G40" s="3537">
        <v>2</v>
      </c>
      <c r="H40" s="3581" t="s">
        <v>3410</v>
      </c>
      <c r="I40" s="3575" t="s">
        <v>2230</v>
      </c>
      <c r="J40" s="3576"/>
      <c r="K40" s="3572" t="s">
        <v>2504</v>
      </c>
      <c r="L40" s="3573"/>
      <c r="M40" s="3573"/>
      <c r="N40" s="3574"/>
      <c r="O40" s="3431" t="s">
        <v>237</v>
      </c>
      <c r="P40" s="132"/>
      <c r="Q40" s="132"/>
      <c r="R40" s="132"/>
    </row>
    <row r="41" spans="2:18" ht="42" customHeight="1">
      <c r="B41" s="1114" t="s">
        <v>2231</v>
      </c>
      <c r="D41" s="908"/>
      <c r="E41" s="909"/>
      <c r="F41" s="908"/>
      <c r="G41" s="3326"/>
      <c r="H41" s="3582"/>
      <c r="I41" s="3577"/>
      <c r="J41" s="3578"/>
      <c r="K41" s="3583" t="s">
        <v>2232</v>
      </c>
      <c r="L41" s="3401"/>
      <c r="M41" s="3401"/>
      <c r="N41" s="3402"/>
      <c r="O41" s="3492"/>
      <c r="P41" s="132"/>
      <c r="Q41" s="132"/>
      <c r="R41" s="132"/>
    </row>
    <row r="42" spans="2:18" ht="30.75" customHeight="1">
      <c r="D42" s="908"/>
      <c r="E42" s="909"/>
      <c r="F42" s="908"/>
      <c r="G42" s="3325">
        <v>2</v>
      </c>
      <c r="H42" s="3587" t="s">
        <v>3411</v>
      </c>
      <c r="I42" s="3563" t="s">
        <v>846</v>
      </c>
      <c r="J42" s="3565"/>
      <c r="K42" s="3563" t="s">
        <v>847</v>
      </c>
      <c r="L42" s="3564"/>
      <c r="M42" s="3564"/>
      <c r="N42" s="3565"/>
      <c r="O42" s="3490" t="s">
        <v>2505</v>
      </c>
      <c r="P42" s="132"/>
      <c r="Q42" s="132"/>
      <c r="R42" s="132"/>
    </row>
    <row r="43" spans="2:18" ht="36" customHeight="1">
      <c r="D43" s="908"/>
      <c r="E43" s="909"/>
      <c r="F43" s="908"/>
      <c r="G43" s="3584"/>
      <c r="H43" s="3588"/>
      <c r="I43" s="3579"/>
      <c r="J43" s="3580"/>
      <c r="K43" s="3589" t="s">
        <v>1241</v>
      </c>
      <c r="L43" s="3590"/>
      <c r="M43" s="3590"/>
      <c r="N43" s="3578"/>
      <c r="O43" s="3491"/>
      <c r="P43" s="132"/>
      <c r="Q43" s="132"/>
      <c r="R43" s="132"/>
    </row>
    <row r="44" spans="2:18" ht="27" customHeight="1">
      <c r="D44" s="908"/>
      <c r="E44" s="909"/>
      <c r="F44" s="908"/>
      <c r="G44" s="3325">
        <v>2</v>
      </c>
      <c r="H44" s="3588"/>
      <c r="I44" s="3579"/>
      <c r="J44" s="3580"/>
      <c r="K44" s="3563" t="s">
        <v>848</v>
      </c>
      <c r="L44" s="3564"/>
      <c r="M44" s="3564"/>
      <c r="N44" s="3565"/>
      <c r="O44" s="3490" t="s">
        <v>236</v>
      </c>
      <c r="P44" s="132"/>
      <c r="Q44" s="132"/>
      <c r="R44" s="132"/>
    </row>
    <row r="45" spans="2:18" ht="55.5" customHeight="1">
      <c r="D45" s="908"/>
      <c r="E45" s="909"/>
      <c r="F45" s="908"/>
      <c r="G45" s="3326"/>
      <c r="H45" s="3588"/>
      <c r="I45" s="3579"/>
      <c r="J45" s="3580"/>
      <c r="K45" s="3589" t="s">
        <v>1242</v>
      </c>
      <c r="L45" s="3590"/>
      <c r="M45" s="3590"/>
      <c r="N45" s="3578"/>
      <c r="O45" s="3492"/>
      <c r="P45" s="132"/>
      <c r="Q45" s="132"/>
      <c r="R45" s="132"/>
    </row>
    <row r="46" spans="2:18" ht="24.75" customHeight="1">
      <c r="D46" s="908"/>
      <c r="E46" s="909"/>
      <c r="F46" s="908"/>
      <c r="G46" s="3325">
        <v>0</v>
      </c>
      <c r="H46" s="3588"/>
      <c r="I46" s="3579"/>
      <c r="J46" s="3580"/>
      <c r="K46" s="3563" t="s">
        <v>849</v>
      </c>
      <c r="L46" s="3564"/>
      <c r="M46" s="3564"/>
      <c r="N46" s="3565"/>
      <c r="O46" s="3490" t="s">
        <v>236</v>
      </c>
      <c r="P46" s="132"/>
      <c r="Q46" s="132"/>
      <c r="R46" s="132"/>
    </row>
    <row r="47" spans="2:18" ht="48.75" customHeight="1">
      <c r="D47" s="908"/>
      <c r="E47" s="909"/>
      <c r="F47" s="908"/>
      <c r="G47" s="3326"/>
      <c r="H47" s="3588"/>
      <c r="I47" s="3577"/>
      <c r="J47" s="3578"/>
      <c r="K47" s="3589" t="s">
        <v>2517</v>
      </c>
      <c r="L47" s="3590"/>
      <c r="M47" s="3590"/>
      <c r="N47" s="3578"/>
      <c r="O47" s="3432"/>
      <c r="P47" s="132"/>
      <c r="Q47" s="132"/>
      <c r="R47" s="132"/>
    </row>
    <row r="48" spans="2:18" ht="15.5">
      <c r="D48" s="908"/>
      <c r="E48" s="909"/>
      <c r="F48" s="908"/>
      <c r="G48" s="3325">
        <v>0</v>
      </c>
      <c r="H48" s="3588"/>
      <c r="I48" s="3563" t="s">
        <v>850</v>
      </c>
      <c r="J48" s="3565"/>
      <c r="K48" s="3563" t="s">
        <v>851</v>
      </c>
      <c r="L48" s="3564"/>
      <c r="M48" s="3564"/>
      <c r="N48" s="3565"/>
      <c r="O48" s="3490" t="s">
        <v>236</v>
      </c>
      <c r="P48" s="132"/>
      <c r="Q48" s="132"/>
      <c r="R48" s="132"/>
    </row>
    <row r="49" spans="4:18" ht="55.5" customHeight="1">
      <c r="D49" s="908"/>
      <c r="E49" s="909"/>
      <c r="F49" s="908"/>
      <c r="G49" s="3326"/>
      <c r="H49" s="3588"/>
      <c r="I49" s="3577"/>
      <c r="J49" s="3578"/>
      <c r="K49" s="3589" t="s">
        <v>2518</v>
      </c>
      <c r="L49" s="3590"/>
      <c r="M49" s="3590"/>
      <c r="N49" s="3578"/>
      <c r="O49" s="3493"/>
      <c r="P49" s="132"/>
      <c r="Q49" s="132"/>
      <c r="R49" s="132"/>
    </row>
    <row r="50" spans="4:18" ht="15.5">
      <c r="D50" s="908"/>
      <c r="E50" s="909"/>
      <c r="F50" s="908"/>
      <c r="G50" s="3325">
        <v>0</v>
      </c>
      <c r="H50" s="3588"/>
      <c r="I50" s="3563" t="s">
        <v>852</v>
      </c>
      <c r="J50" s="3565"/>
      <c r="K50" s="3563" t="s">
        <v>853</v>
      </c>
      <c r="L50" s="3564"/>
      <c r="M50" s="3564"/>
      <c r="N50" s="3565"/>
      <c r="O50" s="3490" t="s">
        <v>236</v>
      </c>
      <c r="P50" s="132"/>
      <c r="Q50" s="132"/>
      <c r="R50" s="132"/>
    </row>
    <row r="51" spans="4:18" ht="55.5" customHeight="1">
      <c r="D51" s="908"/>
      <c r="E51" s="909"/>
      <c r="F51" s="908"/>
      <c r="G51" s="3326"/>
      <c r="H51" s="3588"/>
      <c r="I51" s="3579"/>
      <c r="J51" s="3580"/>
      <c r="K51" s="3589" t="s">
        <v>2519</v>
      </c>
      <c r="L51" s="3590"/>
      <c r="M51" s="3590"/>
      <c r="N51" s="3578"/>
      <c r="O51" s="3492"/>
      <c r="P51" s="132"/>
      <c r="Q51" s="132"/>
      <c r="R51" s="132"/>
    </row>
    <row r="52" spans="4:18" ht="15.5">
      <c r="D52" s="908"/>
      <c r="E52" s="909"/>
      <c r="F52" s="908"/>
      <c r="G52" s="3325">
        <v>0</v>
      </c>
      <c r="H52" s="3588"/>
      <c r="I52" s="3579"/>
      <c r="J52" s="3580"/>
      <c r="K52" s="3563" t="s">
        <v>854</v>
      </c>
      <c r="L52" s="3564"/>
      <c r="M52" s="3564"/>
      <c r="N52" s="3565"/>
      <c r="O52" s="3490" t="s">
        <v>236</v>
      </c>
      <c r="P52" s="132"/>
      <c r="Q52" s="132"/>
      <c r="R52" s="132"/>
    </row>
    <row r="53" spans="4:18" ht="48.75" customHeight="1">
      <c r="D53" s="908"/>
      <c r="E53" s="909"/>
      <c r="F53" s="908"/>
      <c r="G53" s="3326"/>
      <c r="H53" s="3588"/>
      <c r="I53" s="3577"/>
      <c r="J53" s="3578"/>
      <c r="K53" s="3589" t="s">
        <v>2520</v>
      </c>
      <c r="L53" s="3590"/>
      <c r="M53" s="3590"/>
      <c r="N53" s="3578"/>
      <c r="O53" s="3492"/>
      <c r="P53" s="132"/>
      <c r="Q53" s="132"/>
      <c r="R53" s="132"/>
    </row>
    <row r="54" spans="4:18" ht="30.75" customHeight="1">
      <c r="D54" s="908"/>
      <c r="E54" s="909"/>
      <c r="F54" s="908"/>
      <c r="G54" s="3325">
        <v>0</v>
      </c>
      <c r="H54" s="3588"/>
      <c r="I54" s="3563" t="s">
        <v>855</v>
      </c>
      <c r="J54" s="3565"/>
      <c r="K54" s="3563" t="s">
        <v>856</v>
      </c>
      <c r="L54" s="3564"/>
      <c r="M54" s="3564"/>
      <c r="N54" s="3565"/>
      <c r="O54" s="3490" t="s">
        <v>236</v>
      </c>
      <c r="P54" s="132"/>
      <c r="Q54" s="132"/>
      <c r="R54" s="132"/>
    </row>
    <row r="55" spans="4:18" ht="48" customHeight="1">
      <c r="D55" s="908"/>
      <c r="E55" s="909"/>
      <c r="F55" s="908"/>
      <c r="G55" s="3326"/>
      <c r="H55" s="3588"/>
      <c r="I55" s="3579"/>
      <c r="J55" s="3580"/>
      <c r="K55" s="3589" t="s">
        <v>2521</v>
      </c>
      <c r="L55" s="3590"/>
      <c r="M55" s="3590"/>
      <c r="N55" s="3578"/>
      <c r="O55" s="3493"/>
      <c r="P55" s="132"/>
      <c r="Q55" s="132"/>
      <c r="R55" s="132"/>
    </row>
    <row r="56" spans="4:18" ht="27" customHeight="1">
      <c r="D56" s="908"/>
      <c r="E56" s="909"/>
      <c r="F56" s="908"/>
      <c r="G56" s="3325">
        <v>0</v>
      </c>
      <c r="H56" s="3588"/>
      <c r="I56" s="3579"/>
      <c r="J56" s="3580"/>
      <c r="K56" s="3563" t="s">
        <v>857</v>
      </c>
      <c r="L56" s="3564"/>
      <c r="M56" s="3564"/>
      <c r="N56" s="3565"/>
      <c r="O56" s="3490" t="s">
        <v>236</v>
      </c>
      <c r="P56" s="132"/>
      <c r="Q56" s="132"/>
      <c r="R56" s="132"/>
    </row>
    <row r="57" spans="4:18" ht="48" customHeight="1">
      <c r="D57" s="908"/>
      <c r="E57" s="909"/>
      <c r="F57" s="908"/>
      <c r="G57" s="3326"/>
      <c r="H57" s="3582"/>
      <c r="I57" s="3577"/>
      <c r="J57" s="3578"/>
      <c r="K57" s="3589" t="s">
        <v>1210</v>
      </c>
      <c r="L57" s="3590"/>
      <c r="M57" s="3590"/>
      <c r="N57" s="3578"/>
      <c r="O57" s="3492"/>
      <c r="P57" s="132"/>
      <c r="Q57" s="132"/>
      <c r="R57" s="132"/>
    </row>
    <row r="58" spans="4:18" ht="32.25" customHeight="1">
      <c r="D58" s="908"/>
      <c r="E58" s="909"/>
      <c r="F58" s="908"/>
      <c r="G58" s="3325">
        <v>0</v>
      </c>
      <c r="H58" s="3587" t="s">
        <v>3412</v>
      </c>
      <c r="I58" s="3563" t="s">
        <v>858</v>
      </c>
      <c r="J58" s="3565"/>
      <c r="K58" s="3563" t="s">
        <v>1211</v>
      </c>
      <c r="L58" s="3564"/>
      <c r="M58" s="3564"/>
      <c r="N58" s="3565"/>
      <c r="O58" s="3490" t="s">
        <v>237</v>
      </c>
      <c r="P58" s="132"/>
      <c r="Q58" s="132"/>
      <c r="R58" s="132"/>
    </row>
    <row r="59" spans="4:18" ht="45" customHeight="1" thickBot="1">
      <c r="D59" s="908"/>
      <c r="E59" s="909"/>
      <c r="F59" s="908"/>
      <c r="G59" s="3392"/>
      <c r="H59" s="3591"/>
      <c r="I59" s="3592"/>
      <c r="J59" s="3593"/>
      <c r="K59" s="3583" t="s">
        <v>859</v>
      </c>
      <c r="L59" s="3401"/>
      <c r="M59" s="3401"/>
      <c r="N59" s="3402"/>
      <c r="O59" s="3562"/>
      <c r="P59" s="132"/>
      <c r="Q59" s="132"/>
      <c r="R59" s="132"/>
    </row>
    <row r="60" spans="4:18" ht="15.5">
      <c r="D60" s="908"/>
      <c r="E60" s="909"/>
      <c r="F60" s="908"/>
      <c r="G60" s="2856" t="s">
        <v>1777</v>
      </c>
      <c r="H60" s="1209">
        <f>SUM(G40:G59)</f>
        <v>6</v>
      </c>
      <c r="I60" s="2826" t="s">
        <v>3383</v>
      </c>
      <c r="J60" s="1209"/>
      <c r="K60" s="1193"/>
      <c r="L60" s="1194"/>
      <c r="M60" s="1193"/>
      <c r="N60" s="1194"/>
      <c r="O60" s="1298"/>
      <c r="P60" s="132"/>
      <c r="Q60" s="132"/>
      <c r="R60" s="132"/>
    </row>
    <row r="61" spans="4:18" ht="15" customHeight="1">
      <c r="D61" s="908"/>
      <c r="E61" s="908"/>
      <c r="F61" s="908"/>
      <c r="G61" s="1593"/>
      <c r="H61" s="1593"/>
      <c r="I61" s="1594"/>
      <c r="J61" s="1595"/>
      <c r="K61" s="1595"/>
      <c r="L61" s="2044"/>
      <c r="M61" s="909"/>
      <c r="N61" s="909"/>
      <c r="O61" s="909"/>
    </row>
    <row r="62" spans="4:18" ht="14.25" customHeight="1">
      <c r="D62" s="1590">
        <v>2.2999999999999998</v>
      </c>
      <c r="E62" s="915" t="s">
        <v>675</v>
      </c>
      <c r="F62" s="916"/>
      <c r="G62" s="909"/>
      <c r="H62" s="916"/>
      <c r="I62" s="915"/>
      <c r="J62" s="915"/>
      <c r="K62" s="915"/>
      <c r="L62" s="915"/>
      <c r="M62" s="915"/>
      <c r="N62" s="1391"/>
      <c r="O62" s="916"/>
    </row>
    <row r="63" spans="4:18" ht="14.25" customHeight="1">
      <c r="D63" s="1590"/>
      <c r="E63" s="915"/>
      <c r="F63" s="1451" t="s">
        <v>1212</v>
      </c>
      <c r="G63" s="909"/>
      <c r="H63" s="916"/>
      <c r="I63" s="915"/>
      <c r="J63" s="999" t="e">
        <f>IF(OR(F65=0,J64=0),$R$3,"")</f>
        <v>#DIV/0!</v>
      </c>
      <c r="K63" s="915"/>
      <c r="L63" s="915"/>
      <c r="M63" s="915"/>
      <c r="N63" s="1391"/>
      <c r="O63" s="916"/>
    </row>
    <row r="64" spans="4:18" ht="18" customHeight="1" thickBot="1">
      <c r="D64" s="1590"/>
      <c r="E64" s="1391"/>
      <c r="F64" s="1065"/>
      <c r="G64" s="924"/>
      <c r="H64" s="925" t="s">
        <v>1364</v>
      </c>
      <c r="I64" s="926"/>
      <c r="J64" s="927" t="e">
        <f>重み!M178</f>
        <v>#DIV/0!</v>
      </c>
      <c r="K64" s="1066"/>
      <c r="L64" s="1066"/>
      <c r="M64" s="1066"/>
      <c r="N64" s="1066"/>
      <c r="O64" s="936"/>
    </row>
    <row r="65" spans="2:15" ht="27" customHeight="1" thickBot="1">
      <c r="F65" s="930">
        <v>3</v>
      </c>
      <c r="G65" s="934" t="s">
        <v>3419</v>
      </c>
      <c r="H65" s="935"/>
      <c r="I65" s="935"/>
      <c r="J65" s="935"/>
      <c r="K65" s="1052"/>
      <c r="L65" s="2493" t="s">
        <v>3418</v>
      </c>
      <c r="M65" s="1052"/>
      <c r="N65" s="1052"/>
      <c r="O65" s="1053"/>
    </row>
    <row r="66" spans="2:15" ht="21" customHeight="1">
      <c r="B66" s="1505" t="s">
        <v>1509</v>
      </c>
      <c r="C66" s="1">
        <v>1</v>
      </c>
      <c r="F66" s="942" t="str">
        <f>IF(F65=$S$15,$T$10,IF(ROUNDDOWN(F65,0)=$S$10,$U$10,$T$10))</f>
        <v>　レベル　1</v>
      </c>
      <c r="G66" s="939" t="s">
        <v>2178</v>
      </c>
      <c r="H66" s="1171"/>
      <c r="I66" s="1171"/>
      <c r="J66" s="1171"/>
      <c r="K66" s="2862"/>
      <c r="L66" s="2862"/>
      <c r="M66" s="2862"/>
      <c r="N66" s="2862"/>
      <c r="O66" s="1172"/>
    </row>
    <row r="67" spans="2:15" ht="21" customHeight="1">
      <c r="B67" s="1" t="s">
        <v>1509</v>
      </c>
      <c r="C67" s="1">
        <v>2</v>
      </c>
      <c r="F67" s="942" t="str">
        <f>IF(F65=$S$15,$T$11,IF(ROUNDDOWN(F65,0)=$S$11,$U$11,$T$11))</f>
        <v>　レベル　2</v>
      </c>
      <c r="G67" s="1573" t="s">
        <v>2178</v>
      </c>
      <c r="H67" s="2041"/>
      <c r="I67" s="2041"/>
      <c r="J67" s="2041"/>
      <c r="K67" s="2041"/>
      <c r="L67" s="2041"/>
      <c r="M67" s="2041"/>
      <c r="N67" s="2863"/>
      <c r="O67" s="2865"/>
    </row>
    <row r="68" spans="2:15" ht="21" customHeight="1">
      <c r="B68" s="1">
        <v>3</v>
      </c>
      <c r="C68" s="1">
        <v>3</v>
      </c>
      <c r="F68" s="942" t="str">
        <f>IF(F65=$S$15,$T$12,IF(ROUNDDOWN(F65,0)=$S$12,$U$12,$T$12))</f>
        <v>■レベル　3</v>
      </c>
      <c r="G68" s="1573" t="s">
        <v>3413</v>
      </c>
      <c r="H68" s="2041"/>
      <c r="I68" s="2041"/>
      <c r="J68" s="2041"/>
      <c r="K68" s="2041"/>
      <c r="L68" s="1573" t="s">
        <v>3416</v>
      </c>
      <c r="M68" s="2041"/>
      <c r="N68" s="2863"/>
      <c r="O68" s="2865"/>
    </row>
    <row r="69" spans="2:15" ht="24.75" customHeight="1">
      <c r="B69" s="1">
        <v>4</v>
      </c>
      <c r="C69" s="1">
        <v>4</v>
      </c>
      <c r="F69" s="942" t="str">
        <f>IF(F65=$S$15,$T$13,IF(ROUNDDOWN(F65,0)=$S$13,$U$13,$T$13))</f>
        <v>　レベル　4</v>
      </c>
      <c r="G69" s="3568" t="s">
        <v>3414</v>
      </c>
      <c r="H69" s="3585"/>
      <c r="I69" s="3585"/>
      <c r="J69" s="3585"/>
      <c r="K69" s="3586"/>
      <c r="L69" s="1573" t="s">
        <v>3415</v>
      </c>
      <c r="M69" s="2041"/>
      <c r="N69" s="2863"/>
      <c r="O69" s="2865"/>
    </row>
    <row r="70" spans="2:15" ht="21" customHeight="1">
      <c r="B70" s="1">
        <v>5</v>
      </c>
      <c r="C70" s="1">
        <v>5</v>
      </c>
      <c r="F70" s="953" t="str">
        <f>IF(F65=$S$15,$T$14,IF(ROUNDDOWN(F65,0)=$S$14,$U$14,$T$14))</f>
        <v>　レベル　5</v>
      </c>
      <c r="G70" s="1574" t="s">
        <v>3417</v>
      </c>
      <c r="H70" s="2042"/>
      <c r="I70" s="2042"/>
      <c r="J70" s="2042"/>
      <c r="K70" s="2042"/>
      <c r="L70" s="2042"/>
      <c r="M70" s="2042"/>
      <c r="N70" s="2861"/>
      <c r="O70" s="1178"/>
    </row>
    <row r="71" spans="2:15">
      <c r="B71" s="960">
        <v>0</v>
      </c>
      <c r="C71" s="960">
        <v>0</v>
      </c>
    </row>
    <row r="72" spans="2:15" ht="16.5" customHeight="1">
      <c r="F72" s="1451" t="s">
        <v>1213</v>
      </c>
      <c r="J72" s="999" t="e">
        <f>IF(OR(F74=0,J73=0),$R$3,"")</f>
        <v>#DIV/0!</v>
      </c>
    </row>
    <row r="73" spans="2:15" ht="19.5" customHeight="1" thickBot="1">
      <c r="D73" s="1590"/>
      <c r="E73" s="559"/>
      <c r="F73" s="1065"/>
      <c r="G73" s="924"/>
      <c r="H73" s="925" t="s">
        <v>1364</v>
      </c>
      <c r="I73" s="926"/>
      <c r="J73" s="927" t="e">
        <f>重み!M179</f>
        <v>#DIV/0!</v>
      </c>
      <c r="K73" s="1066"/>
      <c r="L73" s="1066"/>
      <c r="M73" s="1066"/>
      <c r="N73" s="1066"/>
      <c r="O73" s="936"/>
    </row>
    <row r="74" spans="2:15" ht="27" customHeight="1" thickBot="1">
      <c r="F74" s="930">
        <v>3</v>
      </c>
      <c r="G74" s="934" t="s">
        <v>2222</v>
      </c>
      <c r="H74" s="935"/>
      <c r="I74" s="935"/>
      <c r="J74" s="935"/>
      <c r="K74" s="935"/>
      <c r="L74" s="1264"/>
      <c r="M74" s="935"/>
      <c r="N74" s="935"/>
      <c r="O74" s="936"/>
    </row>
    <row r="75" spans="2:15" ht="21" customHeight="1">
      <c r="B75" s="1505" t="s">
        <v>1509</v>
      </c>
      <c r="C75" s="1">
        <v>1</v>
      </c>
      <c r="F75" s="942" t="str">
        <f>IF(F74=$S$15,$T$10,IF(ROUNDDOWN(F74,0)=$S$10,$U$10,$T$10))</f>
        <v>　レベル　1</v>
      </c>
      <c r="G75" s="939" t="s">
        <v>2178</v>
      </c>
      <c r="H75" s="1171"/>
      <c r="I75" s="1171"/>
      <c r="J75" s="1171"/>
      <c r="K75" s="1171"/>
      <c r="L75" s="1171"/>
      <c r="M75" s="1171"/>
      <c r="N75" s="940"/>
      <c r="O75" s="941"/>
    </row>
    <row r="76" spans="2:15" ht="21" customHeight="1">
      <c r="B76" s="1" t="s">
        <v>1509</v>
      </c>
      <c r="C76" s="1">
        <v>2</v>
      </c>
      <c r="F76" s="942" t="str">
        <f>IF(F74=$S$15,$T$11,IF(ROUNDDOWN(F74,0)=$S$11,$U$11,$T$11))</f>
        <v>　レベル　2</v>
      </c>
      <c r="G76" s="1573" t="s">
        <v>2178</v>
      </c>
      <c r="H76" s="2041"/>
      <c r="I76" s="2041"/>
      <c r="J76" s="2041"/>
      <c r="K76" s="2041"/>
      <c r="L76" s="2041"/>
      <c r="M76" s="2041"/>
      <c r="N76" s="947"/>
      <c r="O76" s="948"/>
    </row>
    <row r="77" spans="2:15" ht="21" customHeight="1">
      <c r="B77" s="1">
        <v>3</v>
      </c>
      <c r="C77" s="1">
        <v>3</v>
      </c>
      <c r="F77" s="942" t="str">
        <f>IF(F74=$S$15,$T$12,IF(ROUNDDOWN(F74,0)=$S$12,$U$12,$T$12))</f>
        <v>■レベル　3</v>
      </c>
      <c r="G77" s="1573" t="s">
        <v>860</v>
      </c>
      <c r="H77" s="2041"/>
      <c r="I77" s="2041"/>
      <c r="J77" s="2041"/>
      <c r="K77" s="2041"/>
      <c r="L77" s="2041"/>
      <c r="M77" s="2041"/>
      <c r="N77" s="947"/>
      <c r="O77" s="948"/>
    </row>
    <row r="78" spans="2:15" ht="21" customHeight="1">
      <c r="B78" s="1">
        <v>4</v>
      </c>
      <c r="C78" s="1">
        <v>4</v>
      </c>
      <c r="F78" s="942" t="str">
        <f>IF(F74=$S$15,$T$13,IF(ROUNDDOWN(F74,0)=$S$13,$U$13,$T$13))</f>
        <v>　レベル　4</v>
      </c>
      <c r="G78" s="1573" t="s">
        <v>1214</v>
      </c>
      <c r="H78" s="2041"/>
      <c r="I78" s="2041"/>
      <c r="J78" s="2041"/>
      <c r="K78" s="2041"/>
      <c r="L78" s="2041"/>
      <c r="M78" s="2041"/>
      <c r="N78" s="947"/>
      <c r="O78" s="948"/>
    </row>
    <row r="79" spans="2:15" ht="21" customHeight="1">
      <c r="B79" s="1" t="s">
        <v>2177</v>
      </c>
      <c r="C79" s="1">
        <v>5</v>
      </c>
      <c r="F79" s="953" t="str">
        <f>IF(F74=$S$15,$T$14,IF(ROUNDDOWN(F74,0)=$S$14,$U$14,$T$14))</f>
        <v>　レベル　5</v>
      </c>
      <c r="G79" s="1574" t="s">
        <v>2178</v>
      </c>
      <c r="H79" s="2042"/>
      <c r="I79" s="2042"/>
      <c r="J79" s="2042"/>
      <c r="K79" s="2042"/>
      <c r="L79" s="2042"/>
      <c r="M79" s="2042"/>
      <c r="N79" s="958"/>
      <c r="O79" s="959"/>
    </row>
    <row r="80" spans="2:15" ht="13.5" customHeight="1">
      <c r="B80" s="960">
        <v>0</v>
      </c>
      <c r="C80" s="960">
        <v>0</v>
      </c>
    </row>
    <row r="81" spans="4:15" ht="13.5" customHeight="1">
      <c r="F81" s="1451" t="s">
        <v>1215</v>
      </c>
      <c r="J81" s="999" t="e">
        <f>IF(OR(F83=0,J82=0),$R$3,"")</f>
        <v>#DIV/0!</v>
      </c>
    </row>
    <row r="82" spans="4:15" ht="14.25" customHeight="1" thickBot="1">
      <c r="D82" s="1590"/>
      <c r="E82" s="559"/>
      <c r="F82" s="1065"/>
      <c r="G82" s="924"/>
      <c r="H82" s="925" t="s">
        <v>1364</v>
      </c>
      <c r="I82" s="926"/>
      <c r="J82" s="927" t="e">
        <f>重み!M180</f>
        <v>#DIV/0!</v>
      </c>
      <c r="K82" s="1066"/>
      <c r="L82" s="1066"/>
      <c r="M82" s="1066"/>
      <c r="N82" s="1066"/>
      <c r="O82" s="936"/>
    </row>
    <row r="83" spans="4:15" ht="27" customHeight="1" thickBot="1">
      <c r="F83" s="2051">
        <f>IF(H99=0,1,IF(H99=1,2,IF(H99=2,3,IF(H99=3,4,IF(H99&gt;=4,5)))))</f>
        <v>3</v>
      </c>
      <c r="G83" s="934" t="s">
        <v>502</v>
      </c>
      <c r="H83" s="935"/>
      <c r="I83" s="935"/>
      <c r="J83" s="935"/>
      <c r="K83" s="935"/>
      <c r="L83" s="1264"/>
      <c r="M83" s="935"/>
      <c r="N83" s="935"/>
      <c r="O83" s="936"/>
    </row>
    <row r="84" spans="4:15" ht="21" customHeight="1">
      <c r="F84" s="942" t="str">
        <f>IF(F83=$S$15,$T$10,IF(ROUNDDOWN(F83,0)=$S$10,$U$10,$T$10))</f>
        <v>　レベル　1</v>
      </c>
      <c r="G84" s="1170" t="s">
        <v>1216</v>
      </c>
      <c r="H84" s="1171"/>
      <c r="I84" s="1171"/>
      <c r="J84" s="1171"/>
      <c r="K84" s="1171"/>
      <c r="L84" s="1171"/>
      <c r="M84" s="1171"/>
      <c r="N84" s="940"/>
      <c r="O84" s="941"/>
    </row>
    <row r="85" spans="4:15" ht="21" customHeight="1">
      <c r="F85" s="942" t="str">
        <f>IF(F83=$S$15,$T$11,IF(ROUNDDOWN(F83,0)=$S$11,$U$11,$T$11))</f>
        <v>　レベル　2</v>
      </c>
      <c r="G85" s="1573" t="s">
        <v>1652</v>
      </c>
      <c r="H85" s="2041"/>
      <c r="I85" s="2041"/>
      <c r="J85" s="2041"/>
      <c r="K85" s="2041"/>
      <c r="L85" s="2041"/>
      <c r="M85" s="2041"/>
      <c r="N85" s="947"/>
      <c r="O85" s="948"/>
    </row>
    <row r="86" spans="4:15" ht="21" customHeight="1">
      <c r="F86" s="942" t="str">
        <f>IF(F83=$S$15,$T$12,IF(ROUNDDOWN(F83,0)=$S$12,$U$12,$T$12))</f>
        <v>■レベル　3</v>
      </c>
      <c r="G86" s="1573" t="s">
        <v>1653</v>
      </c>
      <c r="H86" s="2041"/>
      <c r="I86" s="2041"/>
      <c r="J86" s="2041"/>
      <c r="K86" s="2041"/>
      <c r="L86" s="2041"/>
      <c r="M86" s="2041"/>
      <c r="N86" s="947"/>
      <c r="O86" s="948"/>
    </row>
    <row r="87" spans="4:15" ht="21" customHeight="1">
      <c r="F87" s="942" t="str">
        <f>IF(F83=$S$15,$T$13,IF(ROUNDDOWN(F83,0)=$S$13,$U$13,$T$13))</f>
        <v>　レベル　4</v>
      </c>
      <c r="G87" s="1573" t="s">
        <v>1654</v>
      </c>
      <c r="H87" s="2041"/>
      <c r="I87" s="2041"/>
      <c r="J87" s="2041"/>
      <c r="K87" s="2041"/>
      <c r="L87" s="2041"/>
      <c r="M87" s="2041"/>
      <c r="N87" s="947"/>
      <c r="O87" s="948"/>
    </row>
    <row r="88" spans="4:15" ht="21" customHeight="1">
      <c r="F88" s="953" t="str">
        <f>IF(F83=$S$15,$T$14,IF(ROUNDDOWN(F83,0)=$S$14,$U$14,$T$14))</f>
        <v>　レベル　5</v>
      </c>
      <c r="G88" s="1574" t="s">
        <v>1655</v>
      </c>
      <c r="H88" s="2042"/>
      <c r="I88" s="2042"/>
      <c r="J88" s="2042"/>
      <c r="K88" s="2042"/>
      <c r="L88" s="2042"/>
      <c r="M88" s="2042"/>
      <c r="N88" s="958"/>
      <c r="O88" s="959"/>
    </row>
    <row r="89" spans="4:15" ht="21" customHeight="1">
      <c r="F89" s="1140"/>
      <c r="G89" s="1295" t="s">
        <v>2678</v>
      </c>
      <c r="H89" s="1140"/>
      <c r="I89" s="2043"/>
      <c r="J89" s="2043"/>
      <c r="K89" s="2016"/>
      <c r="L89" s="2016"/>
      <c r="M89" s="2016"/>
      <c r="N89" s="2016"/>
      <c r="O89" s="904"/>
    </row>
    <row r="90" spans="4:15" ht="16" thickBot="1">
      <c r="F90" s="908"/>
      <c r="G90" s="1297" t="s">
        <v>234</v>
      </c>
      <c r="H90" s="3339" t="s">
        <v>1755</v>
      </c>
      <c r="I90" s="3340"/>
      <c r="J90" s="3341"/>
      <c r="K90" s="3339" t="s">
        <v>1748</v>
      </c>
      <c r="L90" s="3340"/>
      <c r="M90" s="3340"/>
      <c r="N90" s="3340"/>
      <c r="O90" s="1088" t="s">
        <v>1756</v>
      </c>
    </row>
    <row r="91" spans="4:15" ht="41.25" customHeight="1">
      <c r="D91" s="1589"/>
      <c r="E91" s="904"/>
      <c r="F91" s="904"/>
      <c r="G91" s="2831">
        <v>1</v>
      </c>
      <c r="H91" s="3514" t="s">
        <v>1656</v>
      </c>
      <c r="I91" s="3514"/>
      <c r="J91" s="3515"/>
      <c r="K91" s="3161" t="s">
        <v>1657</v>
      </c>
      <c r="L91" s="3522"/>
      <c r="M91" s="3522"/>
      <c r="N91" s="3522"/>
      <c r="O91" s="2045">
        <v>1</v>
      </c>
    </row>
    <row r="92" spans="4:15" ht="20.25" customHeight="1">
      <c r="D92" s="1589"/>
      <c r="E92" s="904"/>
      <c r="F92" s="904"/>
      <c r="G92" s="3325" t="s">
        <v>861</v>
      </c>
      <c r="H92" s="3513"/>
      <c r="I92" s="3513"/>
      <c r="J92" s="3516"/>
      <c r="K92" s="3512" t="s">
        <v>1658</v>
      </c>
      <c r="L92" s="3513"/>
      <c r="M92" s="3513"/>
      <c r="N92" s="3513"/>
      <c r="O92" s="3523">
        <v>1</v>
      </c>
    </row>
    <row r="93" spans="4:15" ht="25.5" customHeight="1">
      <c r="D93" s="1589"/>
      <c r="E93" s="904"/>
      <c r="F93" s="904"/>
      <c r="G93" s="3326"/>
      <c r="H93" s="3517"/>
      <c r="I93" s="3517"/>
      <c r="J93" s="3518"/>
      <c r="K93" s="3560"/>
      <c r="L93" s="3561"/>
      <c r="M93" s="3561"/>
      <c r="N93" s="3561"/>
      <c r="O93" s="3523"/>
    </row>
    <row r="94" spans="4:15" ht="30.75" customHeight="1">
      <c r="D94" s="1589"/>
      <c r="E94" s="904"/>
      <c r="F94" s="904"/>
      <c r="G94" s="2829">
        <v>1</v>
      </c>
      <c r="H94" s="3507" t="s">
        <v>1659</v>
      </c>
      <c r="I94" s="3507"/>
      <c r="J94" s="3508"/>
      <c r="K94" s="3512" t="s">
        <v>1660</v>
      </c>
      <c r="L94" s="3513"/>
      <c r="M94" s="3513"/>
      <c r="N94" s="3513"/>
      <c r="O94" s="2046">
        <v>1</v>
      </c>
    </row>
    <row r="95" spans="4:15" ht="22.5" customHeight="1">
      <c r="D95" s="1589"/>
      <c r="E95" s="904"/>
      <c r="F95" s="904"/>
      <c r="G95" s="2829">
        <v>0</v>
      </c>
      <c r="H95" s="3513"/>
      <c r="I95" s="3513"/>
      <c r="J95" s="3516"/>
      <c r="K95" s="3166" t="s">
        <v>1661</v>
      </c>
      <c r="L95" s="3541"/>
      <c r="M95" s="3541"/>
      <c r="N95" s="3541"/>
      <c r="O95" s="2046">
        <v>1</v>
      </c>
    </row>
    <row r="96" spans="4:15" ht="33" customHeight="1">
      <c r="D96" s="1589"/>
      <c r="E96" s="904"/>
      <c r="F96" s="904"/>
      <c r="G96" s="2829">
        <v>0</v>
      </c>
      <c r="H96" s="3513"/>
      <c r="I96" s="3513"/>
      <c r="J96" s="3516"/>
      <c r="K96" s="3166" t="s">
        <v>1662</v>
      </c>
      <c r="L96" s="3541"/>
      <c r="M96" s="3541"/>
      <c r="N96" s="3541"/>
      <c r="O96" s="2046">
        <v>1</v>
      </c>
    </row>
    <row r="97" spans="2:15" ht="21.75" customHeight="1">
      <c r="D97" s="1589"/>
      <c r="E97" s="904"/>
      <c r="F97" s="904"/>
      <c r="G97" s="3325" t="s">
        <v>861</v>
      </c>
      <c r="H97" s="3513"/>
      <c r="I97" s="3513"/>
      <c r="J97" s="3516"/>
      <c r="K97" s="3512" t="s">
        <v>1663</v>
      </c>
      <c r="L97" s="3513"/>
      <c r="M97" s="3513"/>
      <c r="N97" s="3513"/>
      <c r="O97" s="3523">
        <v>1</v>
      </c>
    </row>
    <row r="98" spans="2:15" ht="25.5" customHeight="1" thickBot="1">
      <c r="D98" s="1589"/>
      <c r="E98" s="904"/>
      <c r="F98" s="904"/>
      <c r="G98" s="3392"/>
      <c r="H98" s="3510"/>
      <c r="I98" s="3510"/>
      <c r="J98" s="3511"/>
      <c r="K98" s="3335"/>
      <c r="L98" s="3336"/>
      <c r="M98" s="3336"/>
      <c r="N98" s="3336"/>
      <c r="O98" s="3559"/>
    </row>
    <row r="99" spans="2:15" ht="14">
      <c r="D99" s="1589"/>
      <c r="E99" s="904"/>
      <c r="F99" s="904"/>
      <c r="G99" s="2856" t="s">
        <v>1777</v>
      </c>
      <c r="H99" s="1209">
        <f>SUM(G91:G98)</f>
        <v>2</v>
      </c>
      <c r="I99" s="2826" t="s">
        <v>3383</v>
      </c>
      <c r="J99" s="1209"/>
      <c r="K99" s="1193"/>
      <c r="L99" s="1194"/>
      <c r="M99" s="1193"/>
      <c r="N99" s="1194"/>
      <c r="O99" s="1298"/>
    </row>
    <row r="100" spans="2:15" ht="14">
      <c r="D100" s="1589"/>
      <c r="E100" s="904"/>
      <c r="F100" s="904"/>
      <c r="G100" s="904"/>
      <c r="H100" s="904"/>
      <c r="I100" s="904"/>
      <c r="J100" s="904"/>
      <c r="K100" s="904"/>
      <c r="L100" s="904"/>
      <c r="M100" s="904"/>
      <c r="N100" s="904"/>
      <c r="O100" s="904"/>
    </row>
    <row r="101" spans="2:15" ht="14">
      <c r="D101" s="1589"/>
      <c r="E101" s="904"/>
      <c r="F101" s="1451" t="s">
        <v>862</v>
      </c>
      <c r="G101" s="904"/>
      <c r="H101" s="904"/>
      <c r="I101" s="904"/>
      <c r="J101" s="999" t="e">
        <f>IF(OR(F103=0,J102=0),$R$3,"")</f>
        <v>#DIV/0!</v>
      </c>
      <c r="K101" s="904"/>
      <c r="L101" s="904"/>
      <c r="M101" s="904"/>
      <c r="N101" s="904"/>
      <c r="O101" s="904"/>
    </row>
    <row r="102" spans="2:15" ht="14.5" thickBot="1">
      <c r="B102" s="1597" t="s">
        <v>863</v>
      </c>
      <c r="D102" s="1590"/>
      <c r="E102" s="1140"/>
      <c r="F102" s="1065"/>
      <c r="G102" s="924"/>
      <c r="H102" s="925" t="s">
        <v>1364</v>
      </c>
      <c r="I102" s="926"/>
      <c r="J102" s="927" t="e">
        <f>重み!M181</f>
        <v>#DIV/0!</v>
      </c>
      <c r="K102" s="1066"/>
      <c r="L102" s="1066"/>
      <c r="M102" s="1066"/>
      <c r="N102" s="1066"/>
      <c r="O102" s="936"/>
    </row>
    <row r="103" spans="2:15" ht="27" customHeight="1" thickBot="1">
      <c r="F103" s="2051">
        <f>IF(H118&lt;=1,1,IF(H118&lt;=2,2,IF(H118&lt;=3,3,IF(H118&lt;=4,4,IF(H118&gt;=5,5)))))</f>
        <v>3</v>
      </c>
      <c r="G103" s="934" t="s">
        <v>1997</v>
      </c>
      <c r="H103" s="935"/>
      <c r="I103" s="935"/>
      <c r="J103" s="935"/>
      <c r="K103" s="1136" t="s">
        <v>1905</v>
      </c>
      <c r="L103" s="1137"/>
      <c r="M103" s="1137"/>
      <c r="N103" s="1137"/>
      <c r="O103" s="1405"/>
    </row>
    <row r="104" spans="2:15" ht="21" customHeight="1">
      <c r="F104" s="942" t="str">
        <f>IF(F103=$S$15,$T$10,IF(ROUNDDOWN(F103,0)=$S$10,$U$10,$T$10))</f>
        <v>　レベル　1</v>
      </c>
      <c r="G104" s="1170" t="s">
        <v>1664</v>
      </c>
      <c r="H104" s="1247"/>
      <c r="I104" s="1247"/>
      <c r="J104" s="1247"/>
      <c r="K104" s="1406" t="s">
        <v>1665</v>
      </c>
      <c r="L104" s="1598"/>
      <c r="M104" s="1598"/>
      <c r="N104" s="1599"/>
      <c r="O104" s="1600"/>
    </row>
    <row r="105" spans="2:15" ht="21" customHeight="1">
      <c r="F105" s="942" t="str">
        <f>IF(F103=$S$15,$T$11,IF(ROUNDDOWN(F103,0)=$S$11,$U$11,$T$11))</f>
        <v>　レベル　2</v>
      </c>
      <c r="G105" s="1173" t="s">
        <v>1666</v>
      </c>
      <c r="H105" s="1300"/>
      <c r="I105" s="1300"/>
      <c r="J105" s="1300"/>
      <c r="K105" s="1408" t="s">
        <v>1667</v>
      </c>
      <c r="L105" s="1601"/>
      <c r="M105" s="1602"/>
      <c r="N105" s="1603"/>
      <c r="O105" s="1604"/>
    </row>
    <row r="106" spans="2:15" ht="21" customHeight="1">
      <c r="F106" s="942" t="str">
        <f>IF(F103=$S$15,$T$12,IF(ROUNDDOWN(F103,0)=$S$12,$U$12,$T$12))</f>
        <v>■レベル　3</v>
      </c>
      <c r="G106" s="1173" t="s">
        <v>2002</v>
      </c>
      <c r="H106" s="1300"/>
      <c r="I106" s="1300"/>
      <c r="J106" s="1300"/>
      <c r="K106" s="1408" t="s">
        <v>864</v>
      </c>
      <c r="L106" s="1601"/>
      <c r="M106" s="1602"/>
      <c r="N106" s="1603"/>
      <c r="O106" s="1604"/>
    </row>
    <row r="107" spans="2:15" ht="21" customHeight="1">
      <c r="F107" s="942" t="str">
        <f>IF(F103=$S$15,$T$13,IF(ROUNDDOWN(F103,0)=$S$13,$U$13,$T$13))</f>
        <v>　レベル　4</v>
      </c>
      <c r="G107" s="1173" t="s">
        <v>2003</v>
      </c>
      <c r="H107" s="1300"/>
      <c r="I107" s="1300"/>
      <c r="J107" s="1300"/>
      <c r="K107" s="1408" t="s">
        <v>865</v>
      </c>
      <c r="L107" s="1601"/>
      <c r="M107" s="1602"/>
      <c r="N107" s="1603"/>
      <c r="O107" s="1604"/>
    </row>
    <row r="108" spans="2:15" ht="21" customHeight="1">
      <c r="F108" s="953" t="str">
        <f>IF(F103=$S$15,$T$14,IF(ROUNDDOWN(F103,0)=$S$14,$U$14,$T$14))</f>
        <v>　レベル　5</v>
      </c>
      <c r="G108" s="1176" t="s">
        <v>2004</v>
      </c>
      <c r="H108" s="1306"/>
      <c r="I108" s="1306"/>
      <c r="J108" s="1306"/>
      <c r="K108" s="1605" t="s">
        <v>866</v>
      </c>
      <c r="L108" s="1606"/>
      <c r="M108" s="1607"/>
      <c r="N108" s="1608"/>
      <c r="O108" s="1609"/>
    </row>
    <row r="109" spans="2:15">
      <c r="F109" s="1140"/>
      <c r="G109" s="1295" t="s">
        <v>2678</v>
      </c>
      <c r="H109" s="1140"/>
      <c r="I109" s="2043"/>
      <c r="J109" s="2043"/>
      <c r="K109" s="2016"/>
      <c r="L109" s="2016"/>
      <c r="M109" s="2016"/>
      <c r="N109" s="2016"/>
      <c r="O109" s="904"/>
    </row>
    <row r="110" spans="2:15" ht="16" thickBot="1">
      <c r="F110" s="908"/>
      <c r="G110" s="1297" t="s">
        <v>234</v>
      </c>
      <c r="H110" s="3339" t="s">
        <v>1755</v>
      </c>
      <c r="I110" s="3340"/>
      <c r="J110" s="3341"/>
      <c r="K110" s="3339" t="s">
        <v>1748</v>
      </c>
      <c r="L110" s="3340"/>
      <c r="M110" s="3340"/>
      <c r="N110" s="3340"/>
      <c r="O110" s="1088" t="s">
        <v>1756</v>
      </c>
    </row>
    <row r="111" spans="2:15" ht="35.25" customHeight="1">
      <c r="D111" s="1589"/>
      <c r="E111" s="904"/>
      <c r="F111" s="904"/>
      <c r="G111" s="2831">
        <v>1</v>
      </c>
      <c r="H111" s="3519" t="s">
        <v>2005</v>
      </c>
      <c r="I111" s="3520"/>
      <c r="J111" s="3521"/>
      <c r="K111" s="3161" t="s">
        <v>867</v>
      </c>
      <c r="L111" s="3522"/>
      <c r="M111" s="3522"/>
      <c r="N111" s="3522"/>
      <c r="O111" s="2045">
        <v>1</v>
      </c>
    </row>
    <row r="112" spans="2:15" ht="35.25" customHeight="1">
      <c r="D112" s="1589"/>
      <c r="E112" s="904"/>
      <c r="F112" s="904"/>
      <c r="G112" s="2828">
        <v>1</v>
      </c>
      <c r="H112" s="3506" t="s">
        <v>2382</v>
      </c>
      <c r="I112" s="3507"/>
      <c r="J112" s="3508"/>
      <c r="K112" s="3166" t="s">
        <v>868</v>
      </c>
      <c r="L112" s="3541"/>
      <c r="M112" s="3541"/>
      <c r="N112" s="3541"/>
      <c r="O112" s="2046">
        <v>1</v>
      </c>
    </row>
    <row r="113" spans="2:15" ht="27" customHeight="1">
      <c r="D113" s="1589"/>
      <c r="E113" s="904"/>
      <c r="F113" s="904"/>
      <c r="G113" s="2829">
        <v>1</v>
      </c>
      <c r="H113" s="3553"/>
      <c r="I113" s="3513"/>
      <c r="J113" s="3516"/>
      <c r="K113" s="3166" t="s">
        <v>869</v>
      </c>
      <c r="L113" s="3541"/>
      <c r="M113" s="3541"/>
      <c r="N113" s="3541"/>
      <c r="O113" s="2046">
        <v>1</v>
      </c>
    </row>
    <row r="114" spans="2:15" ht="24" customHeight="1">
      <c r="D114" s="1589"/>
      <c r="E114" s="904"/>
      <c r="F114" s="904"/>
      <c r="G114" s="2829">
        <v>0</v>
      </c>
      <c r="H114" s="3553"/>
      <c r="I114" s="3513"/>
      <c r="J114" s="3516"/>
      <c r="K114" s="3504" t="s">
        <v>870</v>
      </c>
      <c r="L114" s="3517"/>
      <c r="M114" s="3517"/>
      <c r="N114" s="3517"/>
      <c r="O114" s="2046">
        <v>1</v>
      </c>
    </row>
    <row r="115" spans="2:15" ht="57" hidden="1" customHeight="1">
      <c r="B115" s="1114" t="s">
        <v>871</v>
      </c>
      <c r="D115" s="1589"/>
      <c r="E115" s="904"/>
      <c r="F115" s="904"/>
      <c r="G115" s="2829">
        <v>0</v>
      </c>
      <c r="H115" s="1610"/>
      <c r="I115" s="1596"/>
      <c r="J115" s="1596"/>
      <c r="K115" s="3504" t="s">
        <v>872</v>
      </c>
      <c r="L115" s="3505"/>
      <c r="M115" s="3505"/>
      <c r="N115" s="3505"/>
      <c r="O115" s="2046" t="s">
        <v>2383</v>
      </c>
    </row>
    <row r="116" spans="2:15" ht="45" customHeight="1">
      <c r="D116" s="1589"/>
      <c r="E116" s="904"/>
      <c r="F116" s="904"/>
      <c r="G116" s="2829"/>
      <c r="H116" s="3506" t="s">
        <v>2384</v>
      </c>
      <c r="I116" s="3507"/>
      <c r="J116" s="3508"/>
      <c r="K116" s="3166" t="s">
        <v>873</v>
      </c>
      <c r="L116" s="3541"/>
      <c r="M116" s="3541"/>
      <c r="N116" s="3541"/>
      <c r="O116" s="2046">
        <v>1</v>
      </c>
    </row>
    <row r="117" spans="2:15" ht="24" customHeight="1" thickBot="1">
      <c r="D117" s="1589"/>
      <c r="E117" s="904"/>
      <c r="F117" s="904"/>
      <c r="G117" s="2830">
        <v>0</v>
      </c>
      <c r="H117" s="3509"/>
      <c r="I117" s="3510"/>
      <c r="J117" s="3511"/>
      <c r="K117" s="3512" t="s">
        <v>874</v>
      </c>
      <c r="L117" s="3513"/>
      <c r="M117" s="3513"/>
      <c r="N117" s="3513"/>
      <c r="O117" s="2047">
        <v>1</v>
      </c>
    </row>
    <row r="118" spans="2:15" ht="14">
      <c r="D118" s="1589"/>
      <c r="E118" s="904"/>
      <c r="F118" s="904"/>
      <c r="G118" s="2856" t="s">
        <v>1777</v>
      </c>
      <c r="H118" s="1209">
        <f>SUM(G111:G117)</f>
        <v>3</v>
      </c>
      <c r="I118" s="2826" t="s">
        <v>3383</v>
      </c>
      <c r="J118" s="1209"/>
      <c r="K118" s="1193"/>
      <c r="L118" s="1194"/>
      <c r="M118" s="1193"/>
      <c r="N118" s="1194"/>
      <c r="O118" s="1298"/>
    </row>
    <row r="119" spans="2:15" ht="16.5" customHeight="1">
      <c r="D119" s="1589"/>
      <c r="E119" s="904"/>
      <c r="F119" s="904"/>
      <c r="G119" s="904"/>
      <c r="H119" s="904"/>
      <c r="I119" s="904"/>
      <c r="J119" s="904"/>
      <c r="K119" s="904"/>
      <c r="L119" s="904"/>
      <c r="M119" s="904"/>
      <c r="N119" s="904"/>
      <c r="O119" s="904"/>
    </row>
    <row r="120" spans="2:15" ht="19.5" customHeight="1">
      <c r="D120" s="1590">
        <v>3</v>
      </c>
      <c r="E120" s="915" t="s">
        <v>2632</v>
      </c>
      <c r="F120" s="915"/>
      <c r="G120" s="904"/>
      <c r="H120" s="904"/>
      <c r="I120" s="904"/>
      <c r="J120" s="904"/>
      <c r="K120" s="904"/>
      <c r="L120" s="904"/>
      <c r="M120" s="904"/>
      <c r="N120" s="904"/>
      <c r="O120" s="904"/>
    </row>
    <row r="121" spans="2:15" ht="14">
      <c r="D121" s="1590">
        <v>3.1</v>
      </c>
      <c r="E121" s="915" t="s">
        <v>875</v>
      </c>
      <c r="F121" s="915"/>
      <c r="G121" s="914"/>
      <c r="H121" s="915"/>
      <c r="I121" s="915"/>
      <c r="J121" s="915"/>
      <c r="K121" s="915"/>
      <c r="L121" s="915"/>
      <c r="M121" s="915"/>
      <c r="N121" s="915"/>
      <c r="O121" s="2039"/>
    </row>
    <row r="122" spans="2:15" ht="14">
      <c r="D122" s="1590"/>
      <c r="E122" s="915"/>
      <c r="F122" s="1611" t="s">
        <v>876</v>
      </c>
      <c r="G122" s="914"/>
      <c r="H122" s="915"/>
      <c r="I122" s="915"/>
      <c r="J122" s="999" t="e">
        <f>IF(OR(F124=0,J123=0),$R$3,"")</f>
        <v>#DIV/0!</v>
      </c>
      <c r="K122" s="915"/>
      <c r="L122" s="915"/>
      <c r="M122" s="915"/>
      <c r="N122" s="915"/>
      <c r="O122" s="2039"/>
    </row>
    <row r="123" spans="2:15" ht="14.5" thickBot="1">
      <c r="D123" s="1590"/>
      <c r="E123" s="1140"/>
      <c r="F123" s="1065"/>
      <c r="G123" s="924"/>
      <c r="H123" s="925" t="s">
        <v>1364</v>
      </c>
      <c r="I123" s="926"/>
      <c r="J123" s="927" t="e">
        <f>重み!M185</f>
        <v>#DIV/0!</v>
      </c>
      <c r="K123" s="1066"/>
      <c r="L123" s="1066"/>
      <c r="M123" s="1066"/>
      <c r="N123" s="1066"/>
      <c r="O123" s="936"/>
    </row>
    <row r="124" spans="2:15" ht="27" customHeight="1" thickBot="1">
      <c r="D124" s="908"/>
      <c r="E124" s="908"/>
      <c r="F124" s="930">
        <v>3</v>
      </c>
      <c r="G124" s="934" t="s">
        <v>2222</v>
      </c>
      <c r="H124" s="935"/>
      <c r="I124" s="935"/>
      <c r="J124" s="935"/>
      <c r="K124" s="935"/>
      <c r="L124" s="1264"/>
      <c r="M124" s="935"/>
      <c r="N124" s="1046" t="s">
        <v>877</v>
      </c>
      <c r="O124" s="936"/>
    </row>
    <row r="125" spans="2:15" ht="21" customHeight="1">
      <c r="B125" s="1">
        <v>1</v>
      </c>
      <c r="C125" s="1">
        <v>1</v>
      </c>
      <c r="D125" s="908"/>
      <c r="E125" s="908"/>
      <c r="F125" s="942" t="str">
        <f>IF(F124=$S$15,$T$10,IF(ROUNDDOWN(F124,0)=$S$10,$U$10,$T$10))</f>
        <v>　レベル　1</v>
      </c>
      <c r="G125" s="1170" t="s">
        <v>3420</v>
      </c>
      <c r="H125" s="1247"/>
      <c r="I125" s="1247"/>
      <c r="J125" s="1247"/>
      <c r="K125" s="1247"/>
      <c r="L125" s="1414"/>
      <c r="M125" s="1247"/>
      <c r="N125" s="3498" t="s">
        <v>2385</v>
      </c>
      <c r="O125" s="3499"/>
    </row>
    <row r="126" spans="2:15" ht="21" customHeight="1">
      <c r="B126" s="1" t="s">
        <v>1162</v>
      </c>
      <c r="C126" s="1">
        <v>2</v>
      </c>
      <c r="D126" s="908"/>
      <c r="E126" s="908"/>
      <c r="F126" s="942" t="str">
        <f>IF(F124=$S$15,$T$11,IF(ROUNDDOWN(F124,0)=$S$11,$U$11,$T$11))</f>
        <v>　レベル　2</v>
      </c>
      <c r="G126" s="1173" t="s">
        <v>2178</v>
      </c>
      <c r="H126" s="1300"/>
      <c r="I126" s="1300"/>
      <c r="J126" s="1300"/>
      <c r="K126" s="1300"/>
      <c r="L126" s="1415"/>
      <c r="M126" s="1300"/>
      <c r="N126" s="3500"/>
      <c r="O126" s="3501"/>
    </row>
    <row r="127" spans="2:15" ht="21" customHeight="1">
      <c r="B127" s="1">
        <v>3</v>
      </c>
      <c r="C127" s="1">
        <v>3</v>
      </c>
      <c r="D127" s="908"/>
      <c r="E127" s="908"/>
      <c r="F127" s="942" t="str">
        <f>IF(F124=$S$15,$T$12,IF(ROUNDDOWN(F124,0)=$S$12,$U$12,$T$12))</f>
        <v>■レベル　3</v>
      </c>
      <c r="G127" s="1173" t="s">
        <v>3421</v>
      </c>
      <c r="H127" s="1300"/>
      <c r="I127" s="1300"/>
      <c r="J127" s="1300"/>
      <c r="K127" s="1300"/>
      <c r="L127" s="1415"/>
      <c r="M127" s="1300"/>
      <c r="N127" s="3500"/>
      <c r="O127" s="3501"/>
    </row>
    <row r="128" spans="2:15" ht="21" customHeight="1">
      <c r="B128" s="1" t="s">
        <v>1162</v>
      </c>
      <c r="C128" s="1">
        <v>4</v>
      </c>
      <c r="D128" s="908"/>
      <c r="E128" s="908"/>
      <c r="F128" s="942" t="str">
        <f>IF(F124=$S$15,$T$13,IF(ROUNDDOWN(F124,0)=$S$13,$U$13,$T$13))</f>
        <v>　レベル　4</v>
      </c>
      <c r="G128" s="1173" t="s">
        <v>2178</v>
      </c>
      <c r="H128" s="1300"/>
      <c r="I128" s="1300"/>
      <c r="J128" s="1300"/>
      <c r="K128" s="1300"/>
      <c r="L128" s="1415"/>
      <c r="M128" s="1300"/>
      <c r="N128" s="3500"/>
      <c r="O128" s="3501"/>
    </row>
    <row r="129" spans="2:15" ht="21" customHeight="1">
      <c r="B129" s="1">
        <v>5</v>
      </c>
      <c r="C129" s="1">
        <v>5</v>
      </c>
      <c r="D129" s="908"/>
      <c r="E129" s="908"/>
      <c r="F129" s="953" t="str">
        <f>IF(F124=$S$15,$T$14,IF(ROUNDDOWN(F124,0)=$S$14,$U$14,$T$14))</f>
        <v>　レベル　5</v>
      </c>
      <c r="G129" s="1176" t="s">
        <v>3422</v>
      </c>
      <c r="H129" s="1306"/>
      <c r="I129" s="1306"/>
      <c r="J129" s="1306"/>
      <c r="K129" s="1306"/>
      <c r="L129" s="1612"/>
      <c r="M129" s="1306"/>
      <c r="N129" s="3502"/>
      <c r="O129" s="3503"/>
    </row>
    <row r="130" spans="2:15" ht="25.5" customHeight="1">
      <c r="B130" s="960">
        <v>0</v>
      </c>
      <c r="C130" s="960">
        <v>0</v>
      </c>
      <c r="F130" s="3494" t="s">
        <v>1545</v>
      </c>
      <c r="G130" s="3494"/>
      <c r="H130" s="3494"/>
      <c r="I130" s="3494"/>
      <c r="J130" s="3494"/>
      <c r="K130" s="3494"/>
      <c r="L130" s="3494"/>
      <c r="M130" s="3494"/>
      <c r="N130" s="3494"/>
      <c r="O130" s="3494"/>
    </row>
    <row r="131" spans="2:15" ht="15.5">
      <c r="F131" s="1337" t="s">
        <v>878</v>
      </c>
      <c r="G131" s="1337"/>
      <c r="H131" s="908"/>
      <c r="I131" s="908"/>
      <c r="J131" s="908"/>
      <c r="K131" s="915"/>
      <c r="L131" s="915"/>
    </row>
    <row r="132" spans="2:15">
      <c r="F132" s="1448" t="s">
        <v>1546</v>
      </c>
    </row>
    <row r="133" spans="2:15">
      <c r="F133" s="1613"/>
      <c r="G133" s="3495" t="s">
        <v>879</v>
      </c>
      <c r="H133" s="3496"/>
      <c r="I133" s="3497"/>
      <c r="J133" s="3495" t="s">
        <v>880</v>
      </c>
      <c r="K133" s="3496"/>
      <c r="L133" s="3497"/>
    </row>
    <row r="134" spans="2:15" ht="14">
      <c r="F134" s="1614"/>
      <c r="G134" s="1615" t="s">
        <v>1547</v>
      </c>
      <c r="H134" s="1616" t="s">
        <v>1548</v>
      </c>
      <c r="I134" s="1617" t="s">
        <v>1549</v>
      </c>
      <c r="J134" s="1615" t="s">
        <v>1547</v>
      </c>
      <c r="K134" s="1616" t="s">
        <v>1548</v>
      </c>
      <c r="L134" s="1617" t="s">
        <v>1549</v>
      </c>
    </row>
    <row r="135" spans="2:15" ht="29.25" customHeight="1">
      <c r="F135" s="942" t="s">
        <v>881</v>
      </c>
      <c r="G135" s="1618" t="s">
        <v>882</v>
      </c>
      <c r="H135" s="1619" t="s">
        <v>882</v>
      </c>
      <c r="I135" s="1620" t="s">
        <v>882</v>
      </c>
      <c r="J135" s="1618" t="s">
        <v>882</v>
      </c>
      <c r="K135" s="1619" t="s">
        <v>882</v>
      </c>
      <c r="L135" s="1620" t="s">
        <v>882</v>
      </c>
    </row>
    <row r="136" spans="2:15">
      <c r="F136" s="942" t="s">
        <v>2834</v>
      </c>
      <c r="G136" s="1621"/>
      <c r="H136" s="1616"/>
      <c r="I136" s="1622"/>
      <c r="J136" s="1621"/>
      <c r="K136" s="1616"/>
      <c r="L136" s="1622"/>
    </row>
    <row r="137" spans="2:15">
      <c r="F137" s="942" t="s">
        <v>2835</v>
      </c>
      <c r="G137" s="1621" t="s">
        <v>883</v>
      </c>
      <c r="H137" s="1616" t="s">
        <v>884</v>
      </c>
      <c r="I137" s="1622" t="s">
        <v>884</v>
      </c>
      <c r="J137" s="1621" t="s">
        <v>1550</v>
      </c>
      <c r="K137" s="1616" t="s">
        <v>883</v>
      </c>
      <c r="L137" s="1622" t="s">
        <v>883</v>
      </c>
    </row>
    <row r="138" spans="2:15">
      <c r="F138" s="942" t="s">
        <v>2836</v>
      </c>
      <c r="G138" s="1621"/>
      <c r="H138" s="1616"/>
      <c r="I138" s="1622"/>
      <c r="J138" s="1621"/>
      <c r="K138" s="1616"/>
      <c r="L138" s="1622"/>
    </row>
    <row r="139" spans="2:15">
      <c r="F139" s="953" t="s">
        <v>2837</v>
      </c>
      <c r="G139" s="1623" t="s">
        <v>1551</v>
      </c>
      <c r="H139" s="1624" t="s">
        <v>1552</v>
      </c>
      <c r="I139" s="1625" t="s">
        <v>1552</v>
      </c>
      <c r="J139" s="1623" t="s">
        <v>884</v>
      </c>
      <c r="K139" s="1624" t="s">
        <v>885</v>
      </c>
      <c r="L139" s="1625" t="s">
        <v>885</v>
      </c>
    </row>
    <row r="140" spans="2:15">
      <c r="F140" s="1613"/>
      <c r="G140" s="3495" t="s">
        <v>886</v>
      </c>
      <c r="H140" s="3496"/>
      <c r="I140" s="3497"/>
      <c r="J140" s="3495" t="s">
        <v>887</v>
      </c>
      <c r="K140" s="3496"/>
      <c r="L140" s="3497"/>
    </row>
    <row r="141" spans="2:15">
      <c r="F141" s="1359"/>
      <c r="G141" s="1615" t="s">
        <v>1553</v>
      </c>
      <c r="H141" s="1616" t="s">
        <v>1554</v>
      </c>
      <c r="I141" s="1617" t="s">
        <v>1555</v>
      </c>
      <c r="J141" s="1615" t="s">
        <v>1553</v>
      </c>
      <c r="K141" s="1616" t="s">
        <v>1554</v>
      </c>
      <c r="L141" s="1617" t="s">
        <v>1555</v>
      </c>
    </row>
    <row r="142" spans="2:15" ht="29.25" customHeight="1">
      <c r="F142" s="942" t="s">
        <v>881</v>
      </c>
      <c r="G142" s="1618" t="s">
        <v>882</v>
      </c>
      <c r="H142" s="1619" t="s">
        <v>882</v>
      </c>
      <c r="I142" s="1620" t="s">
        <v>882</v>
      </c>
      <c r="J142" s="1618" t="s">
        <v>882</v>
      </c>
      <c r="K142" s="1619" t="s">
        <v>882</v>
      </c>
      <c r="L142" s="1620" t="s">
        <v>882</v>
      </c>
    </row>
    <row r="143" spans="2:15">
      <c r="F143" s="942" t="s">
        <v>2834</v>
      </c>
      <c r="G143" s="1621"/>
      <c r="H143" s="1616"/>
      <c r="I143" s="1622"/>
      <c r="J143" s="1621"/>
      <c r="K143" s="1616"/>
      <c r="L143" s="1622"/>
    </row>
    <row r="144" spans="2:15">
      <c r="F144" s="942" t="s">
        <v>2835</v>
      </c>
      <c r="G144" s="1621" t="s">
        <v>888</v>
      </c>
      <c r="H144" s="1616" t="s">
        <v>889</v>
      </c>
      <c r="I144" s="1622" t="s">
        <v>890</v>
      </c>
      <c r="J144" s="1621" t="s">
        <v>891</v>
      </c>
      <c r="K144" s="1616" t="s">
        <v>888</v>
      </c>
      <c r="L144" s="1622" t="s">
        <v>889</v>
      </c>
    </row>
    <row r="145" spans="2:15">
      <c r="F145" s="942" t="s">
        <v>2836</v>
      </c>
      <c r="G145" s="1621"/>
      <c r="H145" s="1616"/>
      <c r="I145" s="1622"/>
      <c r="J145" s="1621"/>
      <c r="K145" s="1616"/>
      <c r="L145" s="1622"/>
    </row>
    <row r="146" spans="2:15">
      <c r="F146" s="953" t="s">
        <v>2837</v>
      </c>
      <c r="G146" s="1623" t="s">
        <v>890</v>
      </c>
      <c r="H146" s="1624" t="s">
        <v>883</v>
      </c>
      <c r="I146" s="1625" t="s">
        <v>884</v>
      </c>
      <c r="J146" s="1623" t="s">
        <v>888</v>
      </c>
      <c r="K146" s="1624" t="s">
        <v>890</v>
      </c>
      <c r="L146" s="1625" t="s">
        <v>883</v>
      </c>
    </row>
    <row r="147" spans="2:15" ht="14.25" customHeight="1">
      <c r="D147" s="908"/>
      <c r="E147" s="908"/>
      <c r="F147" s="908"/>
      <c r="G147" s="908"/>
      <c r="H147" s="908"/>
      <c r="I147" s="908"/>
      <c r="J147" s="908"/>
      <c r="K147" s="908"/>
      <c r="L147" s="908"/>
      <c r="M147" s="908"/>
      <c r="N147" s="908"/>
      <c r="O147" s="2039"/>
    </row>
    <row r="148" spans="2:15" ht="15.5">
      <c r="D148" s="908"/>
      <c r="E148" s="908"/>
      <c r="F148" s="1611" t="s">
        <v>1556</v>
      </c>
      <c r="G148" s="908"/>
      <c r="H148" s="908"/>
      <c r="I148" s="908"/>
      <c r="J148" s="999" t="e">
        <f>IF(OR(F150=0,J149=0),$R$3,"")</f>
        <v>#DIV/0!</v>
      </c>
      <c r="K148" s="908"/>
      <c r="L148" s="908"/>
      <c r="M148" s="908"/>
      <c r="N148" s="908"/>
      <c r="O148" s="2039"/>
    </row>
    <row r="149" spans="2:15" ht="14.5" thickBot="1">
      <c r="D149" s="1590"/>
      <c r="E149" s="1140"/>
      <c r="F149" s="1065"/>
      <c r="G149" s="924"/>
      <c r="H149" s="925" t="s">
        <v>1364</v>
      </c>
      <c r="I149" s="926"/>
      <c r="J149" s="927" t="e">
        <f>重み!M186</f>
        <v>#DIV/0!</v>
      </c>
      <c r="K149" s="1066"/>
      <c r="L149" s="1066"/>
      <c r="M149" s="1066"/>
      <c r="N149" s="1066"/>
      <c r="O149" s="936"/>
    </row>
    <row r="150" spans="2:15" ht="27" customHeight="1" thickBot="1">
      <c r="D150" s="1590"/>
      <c r="E150" s="915"/>
      <c r="F150" s="930">
        <v>3</v>
      </c>
      <c r="G150" s="934" t="s">
        <v>2222</v>
      </c>
      <c r="H150" s="935"/>
      <c r="I150" s="935"/>
      <c r="J150" s="935"/>
      <c r="K150" s="935"/>
      <c r="L150" s="1264"/>
      <c r="M150" s="935"/>
      <c r="N150" s="1046" t="s">
        <v>877</v>
      </c>
      <c r="O150" s="936"/>
    </row>
    <row r="151" spans="2:15" ht="21" customHeight="1">
      <c r="B151" s="1">
        <v>1</v>
      </c>
      <c r="C151" s="1">
        <v>1</v>
      </c>
      <c r="D151" s="1590"/>
      <c r="E151" s="915"/>
      <c r="F151" s="942" t="str">
        <f>IF(F150=$S$15,$T$10,IF(ROUNDDOWN(F150,0)=$S$10,$U$10,$T$10))</f>
        <v>　レベル　1</v>
      </c>
      <c r="G151" s="1170" t="s">
        <v>92</v>
      </c>
      <c r="H151" s="1247"/>
      <c r="I151" s="1247"/>
      <c r="J151" s="1247"/>
      <c r="K151" s="1247"/>
      <c r="L151" s="1414"/>
      <c r="M151" s="1247"/>
      <c r="N151" s="3527" t="s">
        <v>93</v>
      </c>
      <c r="O151" s="3528"/>
    </row>
    <row r="152" spans="2:15" ht="21" customHeight="1">
      <c r="B152" s="1" t="s">
        <v>516</v>
      </c>
      <c r="C152" s="1">
        <v>2</v>
      </c>
      <c r="D152" s="1590"/>
      <c r="E152" s="915"/>
      <c r="F152" s="942" t="str">
        <f>IF(F150=$S$15,$T$11,IF(ROUNDDOWN(F150,0)=$S$11,$U$11,$T$11))</f>
        <v>　レベル　2</v>
      </c>
      <c r="G152" s="1173" t="s">
        <v>2178</v>
      </c>
      <c r="H152" s="1300"/>
      <c r="I152" s="1300"/>
      <c r="J152" s="1300"/>
      <c r="K152" s="1300"/>
      <c r="L152" s="1415"/>
      <c r="M152" s="1300"/>
      <c r="N152" s="3529"/>
      <c r="O152" s="3354"/>
    </row>
    <row r="153" spans="2:15" ht="21" customHeight="1">
      <c r="B153" s="1">
        <v>3</v>
      </c>
      <c r="C153" s="1">
        <v>3</v>
      </c>
      <c r="D153" s="1590"/>
      <c r="E153" s="915"/>
      <c r="F153" s="942" t="str">
        <f>IF(F150=$S$15,$T$12,IF(ROUNDDOWN(F150,0)=$S$12,$U$12,$T$12))</f>
        <v>■レベル　3</v>
      </c>
      <c r="G153" s="1173" t="s">
        <v>94</v>
      </c>
      <c r="H153" s="1300"/>
      <c r="I153" s="1300"/>
      <c r="J153" s="1300"/>
      <c r="K153" s="1300"/>
      <c r="L153" s="1415"/>
      <c r="M153" s="1300"/>
      <c r="N153" s="3529"/>
      <c r="O153" s="3354"/>
    </row>
    <row r="154" spans="2:15" ht="21" customHeight="1">
      <c r="B154" s="1" t="s">
        <v>228</v>
      </c>
      <c r="C154" s="1">
        <v>4</v>
      </c>
      <c r="D154" s="1590"/>
      <c r="E154" s="915"/>
      <c r="F154" s="942" t="str">
        <f>IF(F150=$S$15,$T$13,IF(ROUNDDOWN(F150,0)=$S$13,$U$13,$T$13))</f>
        <v>　レベル　4</v>
      </c>
      <c r="G154" s="1173" t="s">
        <v>2178</v>
      </c>
      <c r="H154" s="1300"/>
      <c r="I154" s="1300"/>
      <c r="J154" s="1300"/>
      <c r="K154" s="1300"/>
      <c r="L154" s="1415"/>
      <c r="M154" s="1300"/>
      <c r="N154" s="3529"/>
      <c r="O154" s="3354"/>
    </row>
    <row r="155" spans="2:15" ht="21" customHeight="1">
      <c r="B155" s="1">
        <v>5</v>
      </c>
      <c r="C155" s="1">
        <v>5</v>
      </c>
      <c r="D155" s="1590"/>
      <c r="E155" s="915"/>
      <c r="F155" s="953" t="str">
        <f>IF(F150=$S$15,$T$14,IF(ROUNDDOWN(F150,0)=$S$14,$U$14,$T$14))</f>
        <v>　レベル　5</v>
      </c>
      <c r="G155" s="1176" t="s">
        <v>95</v>
      </c>
      <c r="H155" s="1306"/>
      <c r="I155" s="1306"/>
      <c r="J155" s="1306"/>
      <c r="K155" s="1306"/>
      <c r="L155" s="1612"/>
      <c r="M155" s="1306"/>
      <c r="N155" s="3530"/>
      <c r="O155" s="3531"/>
    </row>
    <row r="156" spans="2:15" ht="21" customHeight="1">
      <c r="B156" s="960">
        <v>0</v>
      </c>
      <c r="C156" s="960">
        <v>0</v>
      </c>
      <c r="D156" s="1590"/>
      <c r="E156" s="915"/>
      <c r="F156" s="3494" t="s">
        <v>1126</v>
      </c>
      <c r="G156" s="3556"/>
      <c r="H156" s="3556"/>
      <c r="I156" s="3556"/>
      <c r="J156" s="3556"/>
      <c r="K156" s="3556"/>
      <c r="L156" s="3556"/>
      <c r="M156" s="3556"/>
      <c r="N156" s="3556"/>
      <c r="O156" s="904"/>
    </row>
    <row r="157" spans="2:15" ht="15.5">
      <c r="D157" s="1590"/>
      <c r="E157" s="915"/>
      <c r="F157" s="1337" t="s">
        <v>2010</v>
      </c>
      <c r="G157" s="1337"/>
      <c r="H157" s="908"/>
      <c r="I157" s="908"/>
      <c r="J157" s="908"/>
      <c r="K157" s="915"/>
      <c r="L157" s="915"/>
    </row>
    <row r="158" spans="2:15" ht="14">
      <c r="D158" s="1590"/>
      <c r="E158" s="915"/>
      <c r="F158" s="1448" t="s">
        <v>1127</v>
      </c>
    </row>
    <row r="159" spans="2:15" ht="14">
      <c r="D159" s="1590"/>
      <c r="E159" s="915"/>
      <c r="F159" s="1626"/>
      <c r="G159" s="3495" t="s">
        <v>879</v>
      </c>
      <c r="H159" s="3496"/>
      <c r="I159" s="3497"/>
      <c r="J159" s="3495" t="s">
        <v>880</v>
      </c>
      <c r="K159" s="3496"/>
      <c r="L159" s="3497"/>
    </row>
    <row r="160" spans="2:15" ht="14">
      <c r="D160" s="1590"/>
      <c r="E160" s="915"/>
      <c r="F160" s="1614"/>
      <c r="G160" s="1615" t="s">
        <v>1547</v>
      </c>
      <c r="H160" s="1616" t="s">
        <v>1549</v>
      </c>
      <c r="I160" s="1617"/>
      <c r="J160" s="1615" t="s">
        <v>1547</v>
      </c>
      <c r="K160" s="1616" t="s">
        <v>1549</v>
      </c>
      <c r="L160" s="1617"/>
    </row>
    <row r="161" spans="2:15" ht="29.25" customHeight="1">
      <c r="D161" s="1590"/>
      <c r="E161" s="915"/>
      <c r="F161" s="942" t="s">
        <v>881</v>
      </c>
      <c r="G161" s="1618" t="s">
        <v>882</v>
      </c>
      <c r="H161" s="1619" t="s">
        <v>882</v>
      </c>
      <c r="I161" s="1627"/>
      <c r="J161" s="1618" t="s">
        <v>882</v>
      </c>
      <c r="K161" s="1619" t="s">
        <v>882</v>
      </c>
      <c r="L161" s="1627"/>
    </row>
    <row r="162" spans="2:15" ht="14">
      <c r="D162" s="1590"/>
      <c r="E162" s="915"/>
      <c r="F162" s="942" t="s">
        <v>2834</v>
      </c>
      <c r="G162" s="1621"/>
      <c r="H162" s="1616"/>
      <c r="I162" s="1622"/>
      <c r="J162" s="1621"/>
      <c r="K162" s="1616"/>
      <c r="L162" s="1622"/>
    </row>
    <row r="163" spans="2:15" ht="14">
      <c r="D163" s="1590"/>
      <c r="E163" s="915"/>
      <c r="F163" s="942" t="s">
        <v>2835</v>
      </c>
      <c r="G163" s="1621" t="s">
        <v>888</v>
      </c>
      <c r="H163" s="1616" t="s">
        <v>889</v>
      </c>
      <c r="I163" s="1622"/>
      <c r="J163" s="1621" t="s">
        <v>2011</v>
      </c>
      <c r="K163" s="1616" t="s">
        <v>888</v>
      </c>
      <c r="L163" s="1622"/>
    </row>
    <row r="164" spans="2:15" ht="14">
      <c r="D164" s="1590"/>
      <c r="E164" s="915"/>
      <c r="F164" s="942" t="s">
        <v>2836</v>
      </c>
      <c r="G164" s="1621"/>
      <c r="H164" s="1616"/>
      <c r="I164" s="1622"/>
      <c r="J164" s="1621"/>
      <c r="K164" s="1616"/>
      <c r="L164" s="1622"/>
    </row>
    <row r="165" spans="2:15" ht="14">
      <c r="D165" s="1590"/>
      <c r="E165" s="915"/>
      <c r="F165" s="953" t="s">
        <v>2837</v>
      </c>
      <c r="G165" s="1623" t="s">
        <v>889</v>
      </c>
      <c r="H165" s="1624" t="s">
        <v>890</v>
      </c>
      <c r="I165" s="1625"/>
      <c r="J165" s="1623" t="s">
        <v>888</v>
      </c>
      <c r="K165" s="1624" t="s">
        <v>889</v>
      </c>
      <c r="L165" s="1625"/>
    </row>
    <row r="166" spans="2:15" ht="14">
      <c r="D166" s="1590"/>
      <c r="E166" s="915"/>
      <c r="F166" s="2017"/>
      <c r="G166" s="2017"/>
      <c r="H166" s="1459"/>
      <c r="I166" s="1459"/>
      <c r="J166" s="1459"/>
      <c r="K166" s="1459"/>
      <c r="L166" s="1459"/>
    </row>
    <row r="167" spans="2:15" ht="14">
      <c r="D167" s="1590"/>
      <c r="E167" s="915"/>
      <c r="F167" s="1611" t="s">
        <v>1128</v>
      </c>
      <c r="G167" s="2017"/>
      <c r="H167" s="1459"/>
      <c r="I167" s="1459"/>
      <c r="J167" s="999" t="e">
        <f>IF(OR(F169=0,J168=0),$R$3,"")</f>
        <v>#DIV/0!</v>
      </c>
      <c r="K167" s="1459"/>
      <c r="L167" s="1459"/>
      <c r="M167" s="1459"/>
      <c r="N167" s="1459"/>
      <c r="O167" s="2039"/>
    </row>
    <row r="168" spans="2:15" ht="14.5" thickBot="1">
      <c r="D168" s="1590"/>
      <c r="E168" s="1140"/>
      <c r="F168" s="1065"/>
      <c r="G168" s="924"/>
      <c r="H168" s="925" t="s">
        <v>1364</v>
      </c>
      <c r="I168" s="926"/>
      <c r="J168" s="927" t="e">
        <f>重み!M187</f>
        <v>#DIV/0!</v>
      </c>
      <c r="K168" s="1066"/>
      <c r="L168" s="1066"/>
      <c r="M168" s="1066"/>
      <c r="N168" s="1066"/>
      <c r="O168" s="936"/>
    </row>
    <row r="169" spans="2:15" ht="27" customHeight="1" thickBot="1">
      <c r="D169" s="908"/>
      <c r="E169" s="908"/>
      <c r="F169" s="930">
        <v>3</v>
      </c>
      <c r="G169" s="934" t="s">
        <v>2222</v>
      </c>
      <c r="H169" s="935"/>
      <c r="I169" s="935"/>
      <c r="J169" s="935"/>
      <c r="K169" s="935"/>
      <c r="L169" s="1264"/>
      <c r="M169" s="935"/>
      <c r="N169" s="1046" t="s">
        <v>877</v>
      </c>
      <c r="O169" s="936"/>
    </row>
    <row r="170" spans="2:15" ht="29.25" customHeight="1">
      <c r="B170" s="1">
        <v>1</v>
      </c>
      <c r="C170" s="1">
        <v>1</v>
      </c>
      <c r="D170" s="908"/>
      <c r="E170" s="908"/>
      <c r="F170" s="942" t="str">
        <f>IF(F169=$S$15,$T$10,IF(ROUNDDOWN(F169,0)=$S$10,$U$10,$T$10))</f>
        <v>　レベル　1</v>
      </c>
      <c r="G170" s="3144" t="s">
        <v>3424</v>
      </c>
      <c r="H170" s="3557"/>
      <c r="I170" s="3557"/>
      <c r="J170" s="3557"/>
      <c r="K170" s="3557"/>
      <c r="L170" s="3557"/>
      <c r="M170" s="3558"/>
      <c r="N170" s="3498" t="s">
        <v>1688</v>
      </c>
      <c r="O170" s="3499"/>
    </row>
    <row r="171" spans="2:15" ht="21" customHeight="1">
      <c r="B171" s="1" t="s">
        <v>516</v>
      </c>
      <c r="C171" s="1">
        <v>2</v>
      </c>
      <c r="D171" s="908"/>
      <c r="E171" s="908"/>
      <c r="F171" s="942" t="str">
        <f>IF(F169=$S$15,$T$11,IF(ROUNDDOWN(F169,0)=$S$11,$U$11,$T$11))</f>
        <v>　レベル　2</v>
      </c>
      <c r="G171" s="1173" t="s">
        <v>2178</v>
      </c>
      <c r="H171" s="1300"/>
      <c r="I171" s="1300"/>
      <c r="J171" s="1300"/>
      <c r="K171" s="1300"/>
      <c r="L171" s="1415"/>
      <c r="M171" s="1300"/>
      <c r="N171" s="3500"/>
      <c r="O171" s="3501"/>
    </row>
    <row r="172" spans="2:15" ht="30" customHeight="1">
      <c r="B172" s="1">
        <v>3</v>
      </c>
      <c r="C172" s="1">
        <v>3</v>
      </c>
      <c r="D172" s="908"/>
      <c r="E172" s="908"/>
      <c r="F172" s="942" t="str">
        <f>IF(F169=$S$15,$T$12,IF(ROUNDDOWN(F169,0)=$S$12,$U$12,$T$12))</f>
        <v>■レベル　3</v>
      </c>
      <c r="G172" s="3148" t="s">
        <v>3423</v>
      </c>
      <c r="H172" s="3314"/>
      <c r="I172" s="3314"/>
      <c r="J172" s="3314"/>
      <c r="K172" s="3314"/>
      <c r="L172" s="3314"/>
      <c r="M172" s="3315"/>
      <c r="N172" s="3500"/>
      <c r="O172" s="3501"/>
    </row>
    <row r="173" spans="2:15" ht="21" customHeight="1">
      <c r="B173" s="1" t="s">
        <v>516</v>
      </c>
      <c r="C173" s="1">
        <v>4</v>
      </c>
      <c r="D173" s="908"/>
      <c r="E173" s="908"/>
      <c r="F173" s="942" t="str">
        <f>IF(F169=$S$15,$T$13,IF(ROUNDDOWN(F169,0)=$S$13,$U$13,$T$13))</f>
        <v>　レベル　4</v>
      </c>
      <c r="G173" s="1173" t="s">
        <v>2178</v>
      </c>
      <c r="H173" s="1300"/>
      <c r="I173" s="1300"/>
      <c r="J173" s="1300"/>
      <c r="K173" s="1300"/>
      <c r="L173" s="1415"/>
      <c r="M173" s="1300"/>
      <c r="N173" s="3500"/>
      <c r="O173" s="3501"/>
    </row>
    <row r="174" spans="2:15" ht="21" customHeight="1">
      <c r="B174" s="1" t="s">
        <v>516</v>
      </c>
      <c r="C174" s="1">
        <v>5</v>
      </c>
      <c r="D174" s="908"/>
      <c r="E174" s="2048"/>
      <c r="F174" s="953" t="str">
        <f>IF(F169=$S$15,$T$14,IF(ROUNDDOWN(F169,0)=$S$14,$U$14,$T$14))</f>
        <v>　レベル　5</v>
      </c>
      <c r="G174" s="1176" t="s">
        <v>2178</v>
      </c>
      <c r="H174" s="1306"/>
      <c r="I174" s="1306"/>
      <c r="J174" s="1306"/>
      <c r="K174" s="1306"/>
      <c r="L174" s="1612"/>
      <c r="M174" s="1306"/>
      <c r="N174" s="3502"/>
      <c r="O174" s="3503"/>
    </row>
    <row r="175" spans="2:15" ht="15.5">
      <c r="B175" s="960">
        <v>0</v>
      </c>
      <c r="C175" s="960">
        <v>0</v>
      </c>
      <c r="D175" s="908"/>
      <c r="E175" s="908"/>
      <c r="F175" s="1628"/>
      <c r="G175" s="1628"/>
      <c r="H175" s="1628"/>
      <c r="I175" s="1628"/>
      <c r="J175" s="1628"/>
      <c r="K175" s="1628"/>
      <c r="L175" s="1628"/>
      <c r="M175" s="1628"/>
      <c r="N175" s="1628"/>
      <c r="O175" s="2039"/>
    </row>
    <row r="176" spans="2:15" ht="13.5" customHeight="1">
      <c r="D176" s="1590">
        <v>3.2</v>
      </c>
      <c r="E176" s="1042" t="s">
        <v>1129</v>
      </c>
      <c r="F176" s="1629"/>
      <c r="G176" s="1629"/>
      <c r="H176" s="1629"/>
      <c r="I176" s="1629"/>
      <c r="J176" s="1629"/>
      <c r="K176" s="1629"/>
      <c r="L176" s="1629"/>
      <c r="M176" s="1629"/>
      <c r="N176" s="1629"/>
      <c r="O176" s="2039"/>
    </row>
    <row r="177" spans="2:15" ht="13.5" customHeight="1">
      <c r="D177" s="1590"/>
      <c r="E177" s="1042"/>
      <c r="F177" s="1451" t="s">
        <v>1130</v>
      </c>
      <c r="G177" s="1629"/>
      <c r="H177" s="1629"/>
      <c r="I177" s="1629"/>
      <c r="J177" s="999" t="e">
        <f>IF(OR(F179=0,J178=0),$R$3,"")</f>
        <v>#DIV/0!</v>
      </c>
      <c r="K177" s="1629"/>
      <c r="L177" s="1629"/>
      <c r="M177" s="1629"/>
      <c r="N177" s="1629"/>
      <c r="O177" s="2039"/>
    </row>
    <row r="178" spans="2:15" ht="14.5" thickBot="1">
      <c r="D178" s="1590"/>
      <c r="E178" s="1140"/>
      <c r="F178" s="1065"/>
      <c r="G178" s="924"/>
      <c r="H178" s="925" t="s">
        <v>1364</v>
      </c>
      <c r="I178" s="926"/>
      <c r="J178" s="927" t="e">
        <f>重み!M189</f>
        <v>#DIV/0!</v>
      </c>
      <c r="K178" s="1066"/>
      <c r="L178" s="1066"/>
      <c r="M178" s="1066"/>
      <c r="N178" s="1066"/>
      <c r="O178" s="936"/>
    </row>
    <row r="179" spans="2:15" ht="27" customHeight="1" thickBot="1">
      <c r="D179" s="1590"/>
      <c r="E179" s="908"/>
      <c r="F179" s="930">
        <v>3</v>
      </c>
      <c r="G179" s="934" t="s">
        <v>2222</v>
      </c>
      <c r="H179" s="935"/>
      <c r="I179" s="935"/>
      <c r="J179" s="935"/>
      <c r="K179" s="935"/>
      <c r="L179" s="1264"/>
      <c r="M179" s="935"/>
      <c r="N179" s="1046" t="s">
        <v>1325</v>
      </c>
      <c r="O179" s="936"/>
    </row>
    <row r="180" spans="2:15" ht="21" customHeight="1">
      <c r="B180" s="1505">
        <v>1</v>
      </c>
      <c r="C180" s="1">
        <v>1</v>
      </c>
      <c r="D180" s="908"/>
      <c r="E180" s="908"/>
      <c r="F180" s="942" t="str">
        <f>IF(F179=$S$15,$T$10,IF(ROUNDDOWN(F179,0)=$S$10,$U$10,$T$10))</f>
        <v>　レベル　1</v>
      </c>
      <c r="G180" s="939" t="s">
        <v>892</v>
      </c>
      <c r="H180" s="1247"/>
      <c r="I180" s="1247"/>
      <c r="J180" s="1247"/>
      <c r="K180" s="1247"/>
      <c r="L180" s="1414"/>
      <c r="M180" s="1247"/>
      <c r="N180" s="3220" t="s">
        <v>350</v>
      </c>
      <c r="O180" s="3221"/>
    </row>
    <row r="181" spans="2:15" ht="28.5" customHeight="1">
      <c r="B181" s="1">
        <v>2</v>
      </c>
      <c r="C181" s="1">
        <v>2</v>
      </c>
      <c r="D181" s="908"/>
      <c r="E181" s="908"/>
      <c r="F181" s="942" t="str">
        <f>IF(F179=$S$15,$T$11,IF(ROUNDDOWN(F179,0)=$S$11,$U$11,$T$11))</f>
        <v>　レベル　2</v>
      </c>
      <c r="G181" s="3148" t="s">
        <v>893</v>
      </c>
      <c r="H181" s="3420"/>
      <c r="I181" s="3420"/>
      <c r="J181" s="3420"/>
      <c r="K181" s="3420"/>
      <c r="L181" s="3420"/>
      <c r="M181" s="3421"/>
      <c r="N181" s="3252"/>
      <c r="O181" s="3378"/>
    </row>
    <row r="182" spans="2:15" ht="39.75" customHeight="1">
      <c r="B182" s="1">
        <v>3</v>
      </c>
      <c r="C182" s="1">
        <v>3</v>
      </c>
      <c r="D182" s="908"/>
      <c r="E182" s="908"/>
      <c r="F182" s="942" t="str">
        <f>IF(F179=$S$15,$T$12,IF(ROUNDDOWN(F179,0)=$S$12,$U$12,$T$12))</f>
        <v>■レベル　3</v>
      </c>
      <c r="G182" s="3148" t="s">
        <v>2452</v>
      </c>
      <c r="H182" s="3420"/>
      <c r="I182" s="3420"/>
      <c r="J182" s="3420"/>
      <c r="K182" s="3420"/>
      <c r="L182" s="3420"/>
      <c r="M182" s="3421"/>
      <c r="N182" s="3252"/>
      <c r="O182" s="3378"/>
    </row>
    <row r="183" spans="2:15" ht="28.5" customHeight="1">
      <c r="B183" s="1">
        <v>4</v>
      </c>
      <c r="C183" s="1">
        <v>4</v>
      </c>
      <c r="D183" s="908"/>
      <c r="E183" s="908"/>
      <c r="F183" s="942" t="str">
        <f>IF(F179=$S$15,$T$13,IF(ROUNDDOWN(F179,0)=$S$13,$U$13,$T$13))</f>
        <v>　レベル　4</v>
      </c>
      <c r="G183" s="3148" t="s">
        <v>2453</v>
      </c>
      <c r="H183" s="3420"/>
      <c r="I183" s="3420"/>
      <c r="J183" s="3420"/>
      <c r="K183" s="3420"/>
      <c r="L183" s="3420"/>
      <c r="M183" s="3421"/>
      <c r="N183" s="3252"/>
      <c r="O183" s="3378"/>
    </row>
    <row r="184" spans="2:15" ht="28.5" customHeight="1">
      <c r="B184" s="1">
        <v>5</v>
      </c>
      <c r="C184" s="1">
        <v>5</v>
      </c>
      <c r="D184" s="908"/>
      <c r="E184" s="908"/>
      <c r="F184" s="953" t="str">
        <f>IF(F179=$S$15,$T$14,IF(ROUNDDOWN(F179,0)=$S$14,$U$14,$T$14))</f>
        <v>　レベル　5</v>
      </c>
      <c r="G184" s="3146" t="s">
        <v>2454</v>
      </c>
      <c r="H184" s="3422"/>
      <c r="I184" s="3422"/>
      <c r="J184" s="3422"/>
      <c r="K184" s="3422"/>
      <c r="L184" s="3422"/>
      <c r="M184" s="3423"/>
      <c r="N184" s="3222"/>
      <c r="O184" s="3223"/>
    </row>
    <row r="185" spans="2:15" ht="15.5">
      <c r="B185" s="960">
        <v>0</v>
      </c>
      <c r="C185" s="960">
        <v>0</v>
      </c>
      <c r="D185" s="908"/>
      <c r="E185" s="908"/>
      <c r="F185" s="908"/>
      <c r="G185" s="908"/>
      <c r="H185" s="908"/>
      <c r="I185" s="908"/>
      <c r="J185" s="908"/>
      <c r="K185" s="2049"/>
      <c r="L185" s="2049"/>
      <c r="M185" s="2049"/>
      <c r="N185" s="2049"/>
      <c r="O185" s="2039"/>
    </row>
    <row r="186" spans="2:15" ht="15.5">
      <c r="D186" s="908"/>
      <c r="E186" s="908"/>
      <c r="F186" s="1451" t="s">
        <v>2455</v>
      </c>
      <c r="G186" s="908"/>
      <c r="H186" s="908"/>
      <c r="I186" s="908"/>
      <c r="J186" s="999" t="e">
        <f>IF(OR(F188=0,J187=0),$R$3,"")</f>
        <v>#DIV/0!</v>
      </c>
      <c r="K186" s="2049"/>
      <c r="L186" s="2049"/>
      <c r="M186" s="2049"/>
      <c r="N186" s="2049"/>
      <c r="O186" s="2039"/>
    </row>
    <row r="187" spans="2:15" ht="14.5" thickBot="1">
      <c r="D187" s="1590"/>
      <c r="E187" s="1140"/>
      <c r="F187" s="1065"/>
      <c r="G187" s="924"/>
      <c r="H187" s="925" t="s">
        <v>1364</v>
      </c>
      <c r="I187" s="926"/>
      <c r="J187" s="927" t="e">
        <f>重み!M190</f>
        <v>#DIV/0!</v>
      </c>
      <c r="K187" s="1066"/>
      <c r="L187" s="1066"/>
      <c r="M187" s="1066"/>
      <c r="N187" s="1066"/>
      <c r="O187" s="936"/>
    </row>
    <row r="188" spans="2:15" ht="27" customHeight="1" thickBot="1">
      <c r="D188" s="908"/>
      <c r="E188" s="908"/>
      <c r="F188" s="930">
        <f>IF(H201&gt;=4,5,IF(H201=3,4,IF(H201=2,3,IF(H201=1,2,1))))</f>
        <v>3</v>
      </c>
      <c r="G188" s="934" t="s">
        <v>2456</v>
      </c>
      <c r="H188" s="935"/>
      <c r="I188" s="935"/>
      <c r="J188" s="935"/>
      <c r="K188" s="935"/>
      <c r="L188" s="1264"/>
      <c r="M188" s="935"/>
      <c r="N188" s="935"/>
      <c r="O188" s="936"/>
    </row>
    <row r="189" spans="2:15" ht="21" customHeight="1">
      <c r="B189" s="1" t="s">
        <v>517</v>
      </c>
      <c r="C189" s="1">
        <v>1</v>
      </c>
      <c r="D189" s="908"/>
      <c r="E189" s="908"/>
      <c r="F189" s="942" t="str">
        <f>IF(F188=$S$15,$T$10,IF(ROUNDDOWN(F188,0)=$S$10,$U$10,$T$10))</f>
        <v>　レベル　1</v>
      </c>
      <c r="G189" s="1170" t="s">
        <v>2457</v>
      </c>
      <c r="H189" s="1247"/>
      <c r="I189" s="1247"/>
      <c r="J189" s="1247"/>
      <c r="K189" s="1247"/>
      <c r="L189" s="1414"/>
      <c r="M189" s="1247"/>
      <c r="N189" s="1247"/>
      <c r="O189" s="1248"/>
    </row>
    <row r="190" spans="2:15" ht="21" customHeight="1">
      <c r="B190" s="1">
        <v>2</v>
      </c>
      <c r="C190" s="1">
        <v>2</v>
      </c>
      <c r="D190" s="908"/>
      <c r="E190" s="908"/>
      <c r="F190" s="942" t="str">
        <f>IF(F188=$S$15,$T$11,IF(ROUNDDOWN(F188,0)=$S$11,$U$11,$T$11))</f>
        <v>　レベル　2</v>
      </c>
      <c r="G190" s="1173" t="s">
        <v>1131</v>
      </c>
      <c r="H190" s="1300"/>
      <c r="I190" s="1300"/>
      <c r="J190" s="1300"/>
      <c r="K190" s="1300"/>
      <c r="L190" s="1415"/>
      <c r="M190" s="1300"/>
      <c r="N190" s="1300"/>
      <c r="O190" s="1301"/>
    </row>
    <row r="191" spans="2:15" ht="21" customHeight="1">
      <c r="B191" s="1">
        <v>3</v>
      </c>
      <c r="C191" s="1">
        <v>3</v>
      </c>
      <c r="D191" s="908"/>
      <c r="E191" s="908"/>
      <c r="F191" s="942" t="str">
        <f>IF(F188=$S$15,$T$12,IF(ROUNDDOWN(F188,0)=$S$12,$U$12,$T$12))</f>
        <v>■レベル　3</v>
      </c>
      <c r="G191" s="1173" t="s">
        <v>1132</v>
      </c>
      <c r="H191" s="1300"/>
      <c r="I191" s="1300"/>
      <c r="J191" s="1300"/>
      <c r="K191" s="1300"/>
      <c r="L191" s="1415"/>
      <c r="M191" s="1300"/>
      <c r="N191" s="1300"/>
      <c r="O191" s="1301"/>
    </row>
    <row r="192" spans="2:15" ht="21" customHeight="1">
      <c r="B192" s="1">
        <v>4</v>
      </c>
      <c r="C192" s="1">
        <v>4</v>
      </c>
      <c r="D192" s="908"/>
      <c r="E192" s="908"/>
      <c r="F192" s="942" t="str">
        <f>IF(F188=$S$15,$T$13,IF(ROUNDDOWN(F188,0)=$S$13,$U$13,$T$13))</f>
        <v>　レベル　4</v>
      </c>
      <c r="G192" s="1173" t="s">
        <v>2458</v>
      </c>
      <c r="H192" s="1300"/>
      <c r="I192" s="1300"/>
      <c r="J192" s="1300"/>
      <c r="K192" s="1300"/>
      <c r="L192" s="1415"/>
      <c r="M192" s="1300"/>
      <c r="N192" s="1300"/>
      <c r="O192" s="1301"/>
    </row>
    <row r="193" spans="2:15" ht="21" customHeight="1">
      <c r="B193" s="1">
        <v>5</v>
      </c>
      <c r="C193" s="1">
        <v>5</v>
      </c>
      <c r="D193" s="908"/>
      <c r="E193" s="908"/>
      <c r="F193" s="953" t="str">
        <f>IF(F188=$S$15,$T$14,IF(ROUNDDOWN(F188,0)=$S$14,$U$14,$T$14))</f>
        <v>　レベル　5</v>
      </c>
      <c r="G193" s="1176" t="s">
        <v>2459</v>
      </c>
      <c r="H193" s="1306"/>
      <c r="I193" s="1306"/>
      <c r="J193" s="1306"/>
      <c r="K193" s="1306"/>
      <c r="L193" s="1612"/>
      <c r="M193" s="1306"/>
      <c r="N193" s="1306"/>
      <c r="O193" s="1307"/>
    </row>
    <row r="194" spans="2:15" ht="15.5">
      <c r="B194" s="960">
        <v>0</v>
      </c>
      <c r="C194" s="960">
        <v>0</v>
      </c>
      <c r="D194" s="908"/>
      <c r="E194" s="908"/>
      <c r="F194" s="908"/>
      <c r="G194" s="1295" t="s">
        <v>2678</v>
      </c>
      <c r="H194" s="908"/>
      <c r="I194" s="908"/>
      <c r="J194" s="908"/>
      <c r="K194" s="2049"/>
      <c r="L194" s="2049"/>
      <c r="M194" s="2049"/>
      <c r="N194" s="2049"/>
      <c r="O194" s="2039"/>
    </row>
    <row r="195" spans="2:15" ht="16" thickBot="1">
      <c r="B195" s="1630"/>
      <c r="C195" s="1630"/>
      <c r="D195" s="908"/>
      <c r="E195" s="908"/>
      <c r="F195" s="1631"/>
      <c r="G195" s="1297" t="s">
        <v>234</v>
      </c>
      <c r="H195" s="3339" t="s">
        <v>2502</v>
      </c>
      <c r="I195" s="3340"/>
      <c r="J195" s="3341"/>
      <c r="K195" s="3339" t="s">
        <v>1133</v>
      </c>
      <c r="L195" s="3340"/>
      <c r="M195" s="3340"/>
      <c r="N195" s="3340"/>
      <c r="O195" s="1088" t="s">
        <v>2503</v>
      </c>
    </row>
    <row r="196" spans="2:15" ht="27.75" customHeight="1">
      <c r="B196" s="1630"/>
      <c r="C196" s="1630"/>
      <c r="D196" s="908"/>
      <c r="E196" s="908"/>
      <c r="F196" s="1631"/>
      <c r="G196" s="3537">
        <v>2</v>
      </c>
      <c r="H196" s="3514" t="s">
        <v>1134</v>
      </c>
      <c r="I196" s="3181"/>
      <c r="J196" s="3532"/>
      <c r="K196" s="3161" t="s">
        <v>1135</v>
      </c>
      <c r="L196" s="3522"/>
      <c r="M196" s="3522"/>
      <c r="N196" s="3522"/>
      <c r="O196" s="2045">
        <v>1</v>
      </c>
    </row>
    <row r="197" spans="2:15" ht="27.75" customHeight="1">
      <c r="B197" s="1630"/>
      <c r="C197" s="1630"/>
      <c r="D197" s="908"/>
      <c r="E197" s="908"/>
      <c r="F197" s="1631"/>
      <c r="G197" s="3542"/>
      <c r="H197" s="3533"/>
      <c r="I197" s="3533"/>
      <c r="J197" s="3534"/>
      <c r="K197" s="3166" t="s">
        <v>1136</v>
      </c>
      <c r="L197" s="3541"/>
      <c r="M197" s="3541"/>
      <c r="N197" s="3541"/>
      <c r="O197" s="2046">
        <v>2</v>
      </c>
    </row>
    <row r="198" spans="2:15" ht="27.75" customHeight="1">
      <c r="B198" s="1630"/>
      <c r="C198" s="1630"/>
      <c r="D198" s="908"/>
      <c r="E198" s="908"/>
      <c r="F198" s="1631"/>
      <c r="G198" s="3325">
        <v>0</v>
      </c>
      <c r="H198" s="3506" t="s">
        <v>1137</v>
      </c>
      <c r="I198" s="3545"/>
      <c r="J198" s="3546"/>
      <c r="K198" s="3166" t="s">
        <v>1138</v>
      </c>
      <c r="L198" s="3541"/>
      <c r="M198" s="3541"/>
      <c r="N198" s="3541"/>
      <c r="O198" s="2046">
        <v>1</v>
      </c>
    </row>
    <row r="199" spans="2:15" ht="15.5">
      <c r="B199" s="1630"/>
      <c r="C199" s="1630"/>
      <c r="D199" s="908"/>
      <c r="E199" s="908"/>
      <c r="F199" s="1631"/>
      <c r="G199" s="3543"/>
      <c r="H199" s="3547"/>
      <c r="I199" s="3548"/>
      <c r="J199" s="3549"/>
      <c r="K199" s="3166" t="s">
        <v>1139</v>
      </c>
      <c r="L199" s="3541"/>
      <c r="M199" s="3541"/>
      <c r="N199" s="3541"/>
      <c r="O199" s="2046">
        <v>2</v>
      </c>
    </row>
    <row r="200" spans="2:15" ht="16" thickBot="1">
      <c r="B200" s="1630"/>
      <c r="C200" s="1630"/>
      <c r="D200" s="908"/>
      <c r="E200" s="908"/>
      <c r="F200" s="1631"/>
      <c r="G200" s="3544"/>
      <c r="H200" s="3550"/>
      <c r="I200" s="3551"/>
      <c r="J200" s="3552"/>
      <c r="K200" s="3512" t="s">
        <v>2460</v>
      </c>
      <c r="L200" s="3513"/>
      <c r="M200" s="3513"/>
      <c r="N200" s="3513"/>
      <c r="O200" s="2047">
        <v>4</v>
      </c>
    </row>
    <row r="201" spans="2:15" ht="15.5">
      <c r="B201" s="1630"/>
      <c r="C201" s="1630"/>
      <c r="D201" s="908"/>
      <c r="E201" s="908"/>
      <c r="F201" s="1631"/>
      <c r="G201" s="2856" t="s">
        <v>1777</v>
      </c>
      <c r="H201" s="1209">
        <f>SUM(G196:G200)</f>
        <v>2</v>
      </c>
      <c r="I201" s="2826" t="s">
        <v>3383</v>
      </c>
      <c r="J201" s="1209"/>
      <c r="K201" s="1193"/>
      <c r="L201" s="1194"/>
      <c r="M201" s="1193"/>
      <c r="N201" s="1194"/>
      <c r="O201" s="1298"/>
    </row>
    <row r="202" spans="2:15" ht="15.5">
      <c r="B202" s="1630"/>
      <c r="C202" s="1630"/>
      <c r="D202" s="908"/>
      <c r="E202" s="908"/>
      <c r="F202" s="1631"/>
      <c r="G202" s="1631"/>
      <c r="H202" s="1631"/>
      <c r="I202" s="1631"/>
      <c r="J202" s="1631"/>
      <c r="K202" s="1631"/>
      <c r="L202" s="1631"/>
      <c r="M202" s="1631"/>
      <c r="N202" s="1631"/>
      <c r="O202" s="1631"/>
    </row>
    <row r="203" spans="2:15" ht="15.5">
      <c r="D203" s="908"/>
      <c r="E203" s="908"/>
      <c r="F203" s="1451" t="s">
        <v>2461</v>
      </c>
      <c r="G203" s="908"/>
      <c r="H203" s="908"/>
      <c r="I203" s="908"/>
      <c r="J203" s="908"/>
      <c r="K203" s="2049"/>
      <c r="L203" s="2049"/>
      <c r="M203" s="2049"/>
      <c r="N203" s="2049"/>
      <c r="O203" s="2039"/>
    </row>
    <row r="204" spans="2:15" ht="14.5" thickBot="1">
      <c r="D204" s="1590"/>
      <c r="E204" s="1140"/>
      <c r="F204" s="1065"/>
      <c r="G204" s="924"/>
      <c r="H204" s="925" t="s">
        <v>1364</v>
      </c>
      <c r="I204" s="926"/>
      <c r="J204" s="927" t="e">
        <f>重み!M191</f>
        <v>#DIV/0!</v>
      </c>
      <c r="K204" s="1066"/>
      <c r="L204" s="1066"/>
      <c r="M204" s="1066"/>
      <c r="N204" s="1066"/>
      <c r="O204" s="936"/>
    </row>
    <row r="205" spans="2:15" ht="27" customHeight="1" thickBot="1">
      <c r="D205" s="908"/>
      <c r="E205" s="908"/>
      <c r="F205" s="930">
        <v>3</v>
      </c>
      <c r="G205" s="934" t="s">
        <v>2222</v>
      </c>
      <c r="H205" s="935"/>
      <c r="I205" s="935"/>
      <c r="J205" s="935"/>
      <c r="K205" s="935"/>
      <c r="L205" s="1264"/>
      <c r="M205" s="935"/>
      <c r="N205" s="935"/>
      <c r="O205" s="936"/>
    </row>
    <row r="206" spans="2:15" ht="21" customHeight="1">
      <c r="B206" s="1" t="s">
        <v>1509</v>
      </c>
      <c r="C206" s="1">
        <v>1</v>
      </c>
      <c r="D206" s="908"/>
      <c r="E206" s="908"/>
      <c r="F206" s="942" t="str">
        <f>IF(F205=$S$15,$T$10,IF(ROUNDDOWN(F205,0)=$S$10,$U$10,$T$10))</f>
        <v>　レベル　1</v>
      </c>
      <c r="G206" s="1170" t="s">
        <v>2178</v>
      </c>
      <c r="H206" s="1247"/>
      <c r="I206" s="1247"/>
      <c r="J206" s="1247"/>
      <c r="K206" s="1247"/>
      <c r="L206" s="1414"/>
      <c r="M206" s="1247"/>
      <c r="N206" s="1247"/>
      <c r="O206" s="1248"/>
    </row>
    <row r="207" spans="2:15" ht="21" customHeight="1">
      <c r="B207" s="1" t="s">
        <v>1509</v>
      </c>
      <c r="C207" s="1">
        <v>2</v>
      </c>
      <c r="D207" s="908"/>
      <c r="E207" s="908"/>
      <c r="F207" s="942" t="str">
        <f>IF(F205=$S$15,$T$11,IF(ROUNDDOWN(F205,0)=$S$11,$U$11,$T$11))</f>
        <v>　レベル　2</v>
      </c>
      <c r="G207" s="1173" t="s">
        <v>2178</v>
      </c>
      <c r="H207" s="1300"/>
      <c r="I207" s="1300"/>
      <c r="J207" s="1300"/>
      <c r="K207" s="1300"/>
      <c r="L207" s="1415"/>
      <c r="M207" s="1300"/>
      <c r="N207" s="1300"/>
      <c r="O207" s="1301"/>
    </row>
    <row r="208" spans="2:15" ht="21" customHeight="1">
      <c r="B208" s="1">
        <v>3</v>
      </c>
      <c r="C208" s="1">
        <v>3</v>
      </c>
      <c r="D208" s="908"/>
      <c r="E208" s="908"/>
      <c r="F208" s="942" t="str">
        <f>IF(F205=$S$15,$T$12,IF(ROUNDDOWN(F205,0)=$S$12,$U$12,$T$12))</f>
        <v>■レベル　3</v>
      </c>
      <c r="G208" s="1173" t="s">
        <v>2883</v>
      </c>
      <c r="H208" s="1300"/>
      <c r="I208" s="1300"/>
      <c r="J208" s="1300"/>
      <c r="K208" s="1300"/>
      <c r="L208" s="1415"/>
      <c r="M208" s="1300"/>
      <c r="N208" s="1300"/>
      <c r="O208" s="1301"/>
    </row>
    <row r="209" spans="2:15" ht="21" customHeight="1">
      <c r="B209" s="1">
        <v>4</v>
      </c>
      <c r="C209" s="1">
        <v>4</v>
      </c>
      <c r="D209" s="908"/>
      <c r="E209" s="908"/>
      <c r="F209" s="942" t="str">
        <f>IF(F205=$S$15,$T$13,IF(ROUNDDOWN(F205,0)=$S$13,$U$13,$T$13))</f>
        <v>　レベル　4</v>
      </c>
      <c r="G209" s="1173" t="s">
        <v>2884</v>
      </c>
      <c r="H209" s="1300"/>
      <c r="I209" s="1300"/>
      <c r="J209" s="1300"/>
      <c r="K209" s="1300"/>
      <c r="L209" s="1415"/>
      <c r="M209" s="1300"/>
      <c r="N209" s="1300"/>
      <c r="O209" s="1301"/>
    </row>
    <row r="210" spans="2:15" ht="21" customHeight="1">
      <c r="B210" s="1" t="s">
        <v>1509</v>
      </c>
      <c r="C210" s="1">
        <v>5</v>
      </c>
      <c r="D210" s="908"/>
      <c r="E210" s="908"/>
      <c r="F210" s="953" t="str">
        <f>IF(F205=$S$15,$T$14,IF(ROUNDDOWN(F205,0)=$S$14,$U$14,$T$14))</f>
        <v>　レベル　5</v>
      </c>
      <c r="G210" s="1176" t="s">
        <v>2178</v>
      </c>
      <c r="H210" s="1306"/>
      <c r="I210" s="1306"/>
      <c r="J210" s="1306"/>
      <c r="K210" s="1306"/>
      <c r="L210" s="1612"/>
      <c r="M210" s="1306"/>
      <c r="N210" s="1306"/>
      <c r="O210" s="1307"/>
    </row>
    <row r="211" spans="2:15" ht="24" customHeight="1">
      <c r="B211" s="960">
        <v>0</v>
      </c>
      <c r="C211" s="960">
        <v>0</v>
      </c>
      <c r="D211" s="908"/>
      <c r="E211" s="908"/>
      <c r="F211" s="3535" t="s">
        <v>2885</v>
      </c>
      <c r="G211" s="3535"/>
      <c r="H211" s="3535"/>
      <c r="I211" s="3535"/>
      <c r="J211" s="3535"/>
      <c r="K211" s="3535"/>
      <c r="L211" s="3535"/>
      <c r="M211" s="3535"/>
      <c r="N211" s="3535"/>
      <c r="O211" s="3535"/>
    </row>
    <row r="212" spans="2:15" ht="15.5">
      <c r="D212" s="908"/>
      <c r="E212" s="908"/>
      <c r="F212" s="1631"/>
      <c r="G212" s="1631"/>
      <c r="H212" s="1631"/>
      <c r="I212" s="1631"/>
      <c r="J212" s="1631"/>
      <c r="K212" s="1631"/>
      <c r="L212" s="1631"/>
      <c r="M212" s="1631"/>
      <c r="N212" s="1631"/>
      <c r="O212" s="1631"/>
    </row>
    <row r="213" spans="2:15" ht="14">
      <c r="D213" s="1590">
        <v>3.3</v>
      </c>
      <c r="E213" s="1042" t="s">
        <v>2462</v>
      </c>
      <c r="F213" s="1042"/>
      <c r="G213" s="1631"/>
      <c r="H213" s="1631"/>
      <c r="I213" s="1631"/>
      <c r="J213" s="1631"/>
      <c r="K213" s="1631"/>
      <c r="L213" s="1631"/>
      <c r="M213" s="1631"/>
      <c r="N213" s="1631"/>
      <c r="O213" s="1631"/>
    </row>
    <row r="214" spans="2:15" ht="14">
      <c r="D214" s="1590"/>
      <c r="E214" s="1042"/>
      <c r="F214" s="1451" t="s">
        <v>2886</v>
      </c>
      <c r="G214" s="1631"/>
      <c r="H214" s="1631"/>
      <c r="I214" s="1631"/>
      <c r="J214" s="1631"/>
      <c r="K214" s="1631"/>
      <c r="L214" s="1631"/>
      <c r="M214" s="1631"/>
      <c r="N214" s="1631"/>
      <c r="O214" s="1631"/>
    </row>
    <row r="215" spans="2:15" ht="13.5" thickBot="1">
      <c r="D215" s="1140"/>
      <c r="E215" s="1140"/>
      <c r="F215" s="1065"/>
      <c r="G215" s="924"/>
      <c r="H215" s="925" t="s">
        <v>1364</v>
      </c>
      <c r="I215" s="926"/>
      <c r="J215" s="927" t="e">
        <f>重み!M193</f>
        <v>#DIV/0!</v>
      </c>
      <c r="K215" s="1066"/>
      <c r="L215" s="1066"/>
      <c r="M215" s="1066"/>
      <c r="N215" s="1066"/>
      <c r="O215" s="936"/>
    </row>
    <row r="216" spans="2:15" ht="27" customHeight="1" thickBot="1">
      <c r="D216" s="908"/>
      <c r="E216" s="904"/>
      <c r="F216" s="2051">
        <f>IF(H230&lt;=0,1,IF(H230&lt;=1,2,IF(H230&lt;=2,3,IF(H230&lt;=3,4,IF(H230&gt;=4,5)))))</f>
        <v>3</v>
      </c>
      <c r="G216" s="934" t="s">
        <v>502</v>
      </c>
      <c r="H216" s="935"/>
      <c r="I216" s="935"/>
      <c r="J216" s="935"/>
      <c r="K216" s="935"/>
      <c r="L216" s="1264"/>
      <c r="M216" s="935"/>
      <c r="N216" s="935"/>
      <c r="O216" s="936"/>
    </row>
    <row r="217" spans="2:15" ht="21" customHeight="1">
      <c r="D217" s="908"/>
      <c r="E217" s="904"/>
      <c r="F217" s="942" t="str">
        <f>IF(F216=$S$15,$T$10,IF(ROUNDDOWN(F216,0)=$S$10,$U$10,$T$10))</f>
        <v>　レベル　1</v>
      </c>
      <c r="G217" s="1170" t="s">
        <v>1216</v>
      </c>
      <c r="H217" s="1247"/>
      <c r="I217" s="1247"/>
      <c r="J217" s="1247"/>
      <c r="K217" s="1247"/>
      <c r="L217" s="1414"/>
      <c r="M217" s="1247"/>
      <c r="N217" s="1247"/>
      <c r="O217" s="1248"/>
    </row>
    <row r="218" spans="2:15" ht="21" customHeight="1">
      <c r="D218" s="908"/>
      <c r="E218" s="904"/>
      <c r="F218" s="942" t="str">
        <f>IF(F216=$S$15,$T$11,IF(ROUNDDOWN(F216,0)=$S$11,$U$11,$T$11))</f>
        <v>　レベル　2</v>
      </c>
      <c r="G218" s="1173" t="s">
        <v>1652</v>
      </c>
      <c r="H218" s="1300"/>
      <c r="I218" s="1300"/>
      <c r="J218" s="1300"/>
      <c r="K218" s="1300"/>
      <c r="L218" s="1415"/>
      <c r="M218" s="1300"/>
      <c r="N218" s="1300"/>
      <c r="O218" s="1301"/>
    </row>
    <row r="219" spans="2:15" ht="21" customHeight="1">
      <c r="D219" s="908"/>
      <c r="E219" s="904"/>
      <c r="F219" s="942" t="str">
        <f>IF(F216=$S$15,$T$12,IF(ROUNDDOWN(F216,0)=$S$12,$U$12,$T$12))</f>
        <v>■レベル　3</v>
      </c>
      <c r="G219" s="1173" t="s">
        <v>1653</v>
      </c>
      <c r="H219" s="1300"/>
      <c r="I219" s="1300"/>
      <c r="J219" s="1300"/>
      <c r="K219" s="1300"/>
      <c r="L219" s="1415"/>
      <c r="M219" s="1300"/>
      <c r="N219" s="1300"/>
      <c r="O219" s="1301"/>
    </row>
    <row r="220" spans="2:15" ht="21" customHeight="1">
      <c r="D220" s="908"/>
      <c r="E220" s="904"/>
      <c r="F220" s="942" t="str">
        <f>IF(F216=$S$15,$T$13,IF(ROUNDDOWN(F216,0)=$S$13,$U$13,$T$13))</f>
        <v>　レベル　4</v>
      </c>
      <c r="G220" s="1173" t="s">
        <v>1654</v>
      </c>
      <c r="H220" s="1300"/>
      <c r="I220" s="1300"/>
      <c r="J220" s="1300"/>
      <c r="K220" s="1300"/>
      <c r="L220" s="1415"/>
      <c r="M220" s="1300"/>
      <c r="N220" s="1300"/>
      <c r="O220" s="1301"/>
    </row>
    <row r="221" spans="2:15" ht="21" customHeight="1">
      <c r="D221" s="908"/>
      <c r="E221" s="904"/>
      <c r="F221" s="953" t="str">
        <f>IF(F216=$S$15,$T$14,IF(ROUNDDOWN(F216,0)=$S$14,$U$14,$T$14))</f>
        <v>　レベル　5</v>
      </c>
      <c r="G221" s="1176" t="s">
        <v>144</v>
      </c>
      <c r="H221" s="1306"/>
      <c r="I221" s="1306"/>
      <c r="J221" s="1306"/>
      <c r="K221" s="1306"/>
      <c r="L221" s="1612"/>
      <c r="M221" s="1306"/>
      <c r="N221" s="1306"/>
      <c r="O221" s="1307"/>
    </row>
    <row r="222" spans="2:15" ht="15.5">
      <c r="D222" s="908"/>
      <c r="E222" s="904"/>
      <c r="F222" s="908"/>
      <c r="G222" s="1295" t="s">
        <v>2463</v>
      </c>
      <c r="H222" s="909"/>
      <c r="I222" s="1296"/>
      <c r="J222" s="1287"/>
      <c r="K222" s="1287"/>
      <c r="L222" s="909"/>
      <c r="M222" s="909"/>
      <c r="N222" s="909"/>
      <c r="O222" s="2049"/>
    </row>
    <row r="223" spans="2:15" ht="16" thickBot="1">
      <c r="D223" s="908"/>
      <c r="E223" s="1296"/>
      <c r="F223" s="904"/>
      <c r="G223" s="1196" t="s">
        <v>234</v>
      </c>
      <c r="H223" s="3536" t="s">
        <v>1133</v>
      </c>
      <c r="I223" s="3536"/>
      <c r="J223" s="3536"/>
      <c r="K223" s="3536"/>
      <c r="L223" s="3536"/>
      <c r="M223" s="3536"/>
      <c r="N223" s="3536"/>
      <c r="O223" s="1088" t="s">
        <v>1756</v>
      </c>
    </row>
    <row r="224" spans="2:15" ht="15.5">
      <c r="D224" s="908"/>
      <c r="E224" s="909"/>
      <c r="F224" s="904"/>
      <c r="G224" s="3537">
        <v>2</v>
      </c>
      <c r="H224" s="3538" t="s">
        <v>2464</v>
      </c>
      <c r="I224" s="3539"/>
      <c r="J224" s="3539"/>
      <c r="K224" s="3539"/>
      <c r="L224" s="3539"/>
      <c r="M224" s="3539"/>
      <c r="N224" s="3539"/>
      <c r="O224" s="3540" t="s">
        <v>2505</v>
      </c>
    </row>
    <row r="225" spans="2:15" ht="15.5">
      <c r="D225" s="908"/>
      <c r="E225" s="909"/>
      <c r="F225" s="904"/>
      <c r="G225" s="3379"/>
      <c r="H225" s="3524" t="s">
        <v>2798</v>
      </c>
      <c r="I225" s="3525"/>
      <c r="J225" s="3525"/>
      <c r="K225" s="3525"/>
      <c r="L225" s="3525"/>
      <c r="M225" s="3525"/>
      <c r="N225" s="3525"/>
      <c r="O225" s="3523"/>
    </row>
    <row r="226" spans="2:15" ht="15.5">
      <c r="D226" s="908"/>
      <c r="E226" s="909"/>
      <c r="F226" s="904"/>
      <c r="G226" s="3326"/>
      <c r="H226" s="3526" t="s">
        <v>2799</v>
      </c>
      <c r="I226" s="3505"/>
      <c r="J226" s="3505"/>
      <c r="K226" s="3505"/>
      <c r="L226" s="3505"/>
      <c r="M226" s="3505"/>
      <c r="N226" s="3505"/>
      <c r="O226" s="3523"/>
    </row>
    <row r="227" spans="2:15" ht="15.5">
      <c r="D227" s="908"/>
      <c r="E227" s="909"/>
      <c r="F227" s="904"/>
      <c r="G227" s="3325">
        <v>0</v>
      </c>
      <c r="H227" s="3554" t="s">
        <v>2800</v>
      </c>
      <c r="I227" s="3555"/>
      <c r="J227" s="3555"/>
      <c r="K227" s="3555"/>
      <c r="L227" s="3555"/>
      <c r="M227" s="3555"/>
      <c r="N227" s="3555"/>
      <c r="O227" s="3523" t="s">
        <v>145</v>
      </c>
    </row>
    <row r="228" spans="2:15" ht="15.5">
      <c r="D228" s="908"/>
      <c r="E228" s="909"/>
      <c r="F228" s="904"/>
      <c r="G228" s="3379"/>
      <c r="H228" s="3524" t="s">
        <v>146</v>
      </c>
      <c r="I228" s="3525"/>
      <c r="J228" s="3525"/>
      <c r="K228" s="3525"/>
      <c r="L228" s="3525"/>
      <c r="M228" s="3525"/>
      <c r="N228" s="3525"/>
      <c r="O228" s="3523"/>
    </row>
    <row r="229" spans="2:15" ht="16" thickBot="1">
      <c r="D229" s="908"/>
      <c r="E229" s="909"/>
      <c r="F229" s="904"/>
      <c r="G229" s="3392"/>
      <c r="H229" s="3526" t="s">
        <v>147</v>
      </c>
      <c r="I229" s="3505"/>
      <c r="J229" s="3505"/>
      <c r="K229" s="3505"/>
      <c r="L229" s="3505"/>
      <c r="M229" s="3505"/>
      <c r="N229" s="3505"/>
      <c r="O229" s="3523"/>
    </row>
    <row r="230" spans="2:15" ht="15.5">
      <c r="D230" s="908"/>
      <c r="E230" s="909"/>
      <c r="F230" s="904"/>
      <c r="G230" s="2856" t="s">
        <v>141</v>
      </c>
      <c r="H230" s="1209">
        <f>SUM(G224:G229)</f>
        <v>2</v>
      </c>
      <c r="I230" s="2826" t="s">
        <v>3383</v>
      </c>
      <c r="J230" s="1209"/>
      <c r="K230" s="1193"/>
      <c r="L230" s="1194"/>
      <c r="M230" s="1193"/>
      <c r="N230" s="1194"/>
      <c r="O230" s="1203"/>
    </row>
    <row r="231" spans="2:15" ht="15.5">
      <c r="D231" s="908"/>
      <c r="E231" s="909"/>
      <c r="F231" s="909"/>
      <c r="G231" s="909"/>
      <c r="H231" s="909"/>
      <c r="I231" s="909"/>
      <c r="J231" s="909"/>
      <c r="K231" s="909"/>
      <c r="L231" s="909"/>
      <c r="M231" s="909"/>
      <c r="N231" s="909"/>
      <c r="O231" s="909"/>
    </row>
    <row r="232" spans="2:15" ht="15.5">
      <c r="D232" s="908"/>
      <c r="E232" s="909"/>
      <c r="F232" s="1451" t="s">
        <v>148</v>
      </c>
      <c r="G232" s="909"/>
      <c r="H232" s="909"/>
      <c r="I232" s="909"/>
      <c r="J232" s="909"/>
      <c r="K232" s="909"/>
      <c r="L232" s="909"/>
      <c r="M232" s="909"/>
      <c r="N232" s="909"/>
      <c r="O232" s="909"/>
    </row>
    <row r="233" spans="2:15" ht="14.5" thickBot="1">
      <c r="D233" s="1589"/>
      <c r="E233" s="904"/>
      <c r="F233" s="1065"/>
      <c r="G233" s="924"/>
      <c r="H233" s="925" t="s">
        <v>1364</v>
      </c>
      <c r="I233" s="926"/>
      <c r="J233" s="927" t="e">
        <f>重み!M194</f>
        <v>#DIV/0!</v>
      </c>
      <c r="K233" s="1066"/>
      <c r="L233" s="1066"/>
      <c r="M233" s="1066"/>
      <c r="N233" s="1066"/>
      <c r="O233" s="936"/>
    </row>
    <row r="234" spans="2:15" ht="27" customHeight="1" thickBot="1">
      <c r="D234" s="1589"/>
      <c r="E234" s="904"/>
      <c r="F234" s="930">
        <v>3</v>
      </c>
      <c r="G234" s="934" t="s">
        <v>96</v>
      </c>
      <c r="H234" s="935"/>
      <c r="I234" s="935"/>
      <c r="J234" s="935"/>
      <c r="K234" s="935"/>
      <c r="L234" s="1264"/>
      <c r="M234" s="935"/>
      <c r="N234" s="935"/>
      <c r="O234" s="936"/>
    </row>
    <row r="235" spans="2:15" ht="21" customHeight="1">
      <c r="B235" s="1" t="s">
        <v>2177</v>
      </c>
      <c r="C235" s="1">
        <v>1</v>
      </c>
      <c r="D235" s="1589"/>
      <c r="E235" s="904"/>
      <c r="F235" s="942" t="str">
        <f>IF(F234=$S$15,$T$10,IF(ROUNDDOWN(F234,0)=$S$10,$U$10,$T$10))</f>
        <v>　レベル　1</v>
      </c>
      <c r="G235" s="1170" t="s">
        <v>359</v>
      </c>
      <c r="H235" s="1171"/>
      <c r="I235" s="1171"/>
      <c r="J235" s="1171"/>
      <c r="K235" s="1171"/>
      <c r="L235" s="1171"/>
      <c r="M235" s="1171"/>
      <c r="N235" s="940"/>
      <c r="O235" s="941"/>
    </row>
    <row r="236" spans="2:15" ht="21" customHeight="1">
      <c r="B236" s="1" t="s">
        <v>2177</v>
      </c>
      <c r="C236" s="1">
        <v>2</v>
      </c>
      <c r="D236" s="1589"/>
      <c r="E236" s="904"/>
      <c r="F236" s="942" t="str">
        <f>IF(F234=$S$15,$T$11,IF(ROUNDDOWN(F234,0)=$S$11,$U$11,$T$11))</f>
        <v>　レベル　2</v>
      </c>
      <c r="G236" s="1573" t="s">
        <v>359</v>
      </c>
      <c r="H236" s="1632"/>
      <c r="I236" s="1632"/>
      <c r="J236" s="1632"/>
      <c r="K236" s="1632"/>
      <c r="L236" s="1632"/>
      <c r="M236" s="1632"/>
      <c r="N236" s="947"/>
      <c r="O236" s="948"/>
    </row>
    <row r="237" spans="2:15" ht="21" customHeight="1">
      <c r="B237" s="1">
        <v>3</v>
      </c>
      <c r="C237" s="1">
        <v>3</v>
      </c>
      <c r="D237" s="1589"/>
      <c r="E237" s="904"/>
      <c r="F237" s="942" t="str">
        <f>IF(F234=$S$15,$T$12,IF(ROUNDDOWN(F234,0)=$S$12,$U$12,$T$12))</f>
        <v>■レベル　3</v>
      </c>
      <c r="G237" s="1573" t="s">
        <v>3037</v>
      </c>
      <c r="H237" s="1632"/>
      <c r="I237" s="1632"/>
      <c r="J237" s="1632"/>
      <c r="K237" s="1632"/>
      <c r="L237" s="1632"/>
      <c r="M237" s="1632"/>
      <c r="N237" s="947"/>
      <c r="O237" s="948"/>
    </row>
    <row r="238" spans="2:15" ht="21" customHeight="1">
      <c r="B238" s="1">
        <v>4</v>
      </c>
      <c r="C238" s="1">
        <v>4</v>
      </c>
      <c r="D238" s="1589"/>
      <c r="E238" s="904"/>
      <c r="F238" s="942" t="str">
        <f>IF(F234=$S$15,$T$13,IF(ROUNDDOWN(F234,0)=$S$13,$U$13,$T$13))</f>
        <v>　レベル　4</v>
      </c>
      <c r="G238" s="1573" t="s">
        <v>97</v>
      </c>
      <c r="H238" s="1632"/>
      <c r="I238" s="1632"/>
      <c r="J238" s="1632"/>
      <c r="K238" s="1632"/>
      <c r="L238" s="1632"/>
      <c r="M238" s="1632"/>
      <c r="N238" s="947"/>
      <c r="O238" s="948"/>
    </row>
    <row r="239" spans="2:15" ht="21" customHeight="1">
      <c r="B239" s="1">
        <v>5</v>
      </c>
      <c r="C239" s="1">
        <v>5</v>
      </c>
      <c r="D239" s="1589"/>
      <c r="E239" s="904"/>
      <c r="F239" s="953" t="str">
        <f>IF(F234=$S$15,$T$14,IF(ROUNDDOWN(F234,0)=$S$14,$U$14,$T$14))</f>
        <v>　レベル　5</v>
      </c>
      <c r="G239" s="1574" t="s">
        <v>98</v>
      </c>
      <c r="H239" s="1633"/>
      <c r="I239" s="1633"/>
      <c r="J239" s="1633"/>
      <c r="K239" s="1633"/>
      <c r="L239" s="1633"/>
      <c r="M239" s="1633"/>
      <c r="N239" s="958"/>
      <c r="O239" s="959"/>
    </row>
    <row r="240" spans="2:15">
      <c r="B240" s="960">
        <v>0</v>
      </c>
      <c r="C240" s="960">
        <v>0</v>
      </c>
    </row>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sheetData>
  <sheetProtection algorithmName="SHA-512" hashValue="EB4un4xGRa9HYg0V7vVNfN19M+ZFfHhu3fXSJ9Ya+q3mKWyv6yKN3GV5zMvfm0sV4b+kOrKcnpPCgwfSAH1JYA==" saltValue="+ttUUn0yrsLRvar4DzbtQg==" spinCount="100000" sheet="1" objects="1" scenarios="1"/>
  <mergeCells count="124">
    <mergeCell ref="H94:J98"/>
    <mergeCell ref="K94:N94"/>
    <mergeCell ref="K95:N95"/>
    <mergeCell ref="K96:N96"/>
    <mergeCell ref="K45:N45"/>
    <mergeCell ref="K46:N46"/>
    <mergeCell ref="K42:N42"/>
    <mergeCell ref="K44:N44"/>
    <mergeCell ref="K43:N43"/>
    <mergeCell ref="H90:J90"/>
    <mergeCell ref="K90:N90"/>
    <mergeCell ref="K91:N91"/>
    <mergeCell ref="K59:N59"/>
    <mergeCell ref="G42:G43"/>
    <mergeCell ref="O54:O55"/>
    <mergeCell ref="O56:O57"/>
    <mergeCell ref="G69:K69"/>
    <mergeCell ref="G44:G45"/>
    <mergeCell ref="H42:H57"/>
    <mergeCell ref="G52:G53"/>
    <mergeCell ref="G54:G55"/>
    <mergeCell ref="G56:G57"/>
    <mergeCell ref="K53:N53"/>
    <mergeCell ref="K47:N47"/>
    <mergeCell ref="K48:N48"/>
    <mergeCell ref="K49:N49"/>
    <mergeCell ref="K50:N50"/>
    <mergeCell ref="K51:N51"/>
    <mergeCell ref="K52:N52"/>
    <mergeCell ref="G58:G59"/>
    <mergeCell ref="I54:J57"/>
    <mergeCell ref="K57:N57"/>
    <mergeCell ref="K55:N55"/>
    <mergeCell ref="K56:N56"/>
    <mergeCell ref="K54:N54"/>
    <mergeCell ref="H58:H59"/>
    <mergeCell ref="I58:J59"/>
    <mergeCell ref="O97:O98"/>
    <mergeCell ref="K98:N98"/>
    <mergeCell ref="O92:O93"/>
    <mergeCell ref="K93:N93"/>
    <mergeCell ref="O58:O59"/>
    <mergeCell ref="K58:N58"/>
    <mergeCell ref="G23:O23"/>
    <mergeCell ref="G25:O25"/>
    <mergeCell ref="G26:O26"/>
    <mergeCell ref="K39:N39"/>
    <mergeCell ref="H39:J39"/>
    <mergeCell ref="O40:O41"/>
    <mergeCell ref="K40:N40"/>
    <mergeCell ref="G48:G49"/>
    <mergeCell ref="G50:G51"/>
    <mergeCell ref="I40:J41"/>
    <mergeCell ref="I42:J47"/>
    <mergeCell ref="I48:J49"/>
    <mergeCell ref="I50:J53"/>
    <mergeCell ref="G40:G41"/>
    <mergeCell ref="H40:H41"/>
    <mergeCell ref="G46:G47"/>
    <mergeCell ref="K41:N41"/>
    <mergeCell ref="O50:O51"/>
    <mergeCell ref="H112:J114"/>
    <mergeCell ref="K112:N112"/>
    <mergeCell ref="K113:N113"/>
    <mergeCell ref="K114:N114"/>
    <mergeCell ref="G227:G229"/>
    <mergeCell ref="H227:N227"/>
    <mergeCell ref="K116:N116"/>
    <mergeCell ref="K117:N117"/>
    <mergeCell ref="K196:N196"/>
    <mergeCell ref="K199:N199"/>
    <mergeCell ref="F156:N156"/>
    <mergeCell ref="K198:N198"/>
    <mergeCell ref="K195:N195"/>
    <mergeCell ref="G170:M170"/>
    <mergeCell ref="G172:M172"/>
    <mergeCell ref="O227:O229"/>
    <mergeCell ref="H228:N228"/>
    <mergeCell ref="H229:N229"/>
    <mergeCell ref="G133:I133"/>
    <mergeCell ref="J133:L133"/>
    <mergeCell ref="G140:I140"/>
    <mergeCell ref="J140:L140"/>
    <mergeCell ref="N151:O155"/>
    <mergeCell ref="H196:J197"/>
    <mergeCell ref="F211:O211"/>
    <mergeCell ref="H223:N223"/>
    <mergeCell ref="K200:N200"/>
    <mergeCell ref="G224:G226"/>
    <mergeCell ref="H224:N224"/>
    <mergeCell ref="O224:O226"/>
    <mergeCell ref="H225:N225"/>
    <mergeCell ref="H226:N226"/>
    <mergeCell ref="H195:J195"/>
    <mergeCell ref="K197:N197"/>
    <mergeCell ref="G182:M182"/>
    <mergeCell ref="G183:M183"/>
    <mergeCell ref="G196:G197"/>
    <mergeCell ref="G198:G200"/>
    <mergeCell ref="H198:J200"/>
    <mergeCell ref="O42:O43"/>
    <mergeCell ref="O44:O45"/>
    <mergeCell ref="O46:O47"/>
    <mergeCell ref="O48:O49"/>
    <mergeCell ref="O52:O53"/>
    <mergeCell ref="G184:M184"/>
    <mergeCell ref="F130:O130"/>
    <mergeCell ref="G159:I159"/>
    <mergeCell ref="J159:L159"/>
    <mergeCell ref="N170:O174"/>
    <mergeCell ref="N180:O184"/>
    <mergeCell ref="G181:M181"/>
    <mergeCell ref="N125:O129"/>
    <mergeCell ref="K115:N115"/>
    <mergeCell ref="H116:J117"/>
    <mergeCell ref="G92:G93"/>
    <mergeCell ref="H110:J110"/>
    <mergeCell ref="K110:N110"/>
    <mergeCell ref="G97:G98"/>
    <mergeCell ref="K97:N97"/>
    <mergeCell ref="K92:N92"/>
    <mergeCell ref="H91:J93"/>
    <mergeCell ref="H111:J111"/>
    <mergeCell ref="K111:N111"/>
  </mergeCells>
  <phoneticPr fontId="22"/>
  <conditionalFormatting sqref="G224:G229">
    <cfRule type="expression" dxfId="23" priority="11" stopIfTrue="1">
      <formula>$J$215&gt;0</formula>
    </cfRule>
  </conditionalFormatting>
  <conditionalFormatting sqref="G111:G117">
    <cfRule type="expression" dxfId="22" priority="12" stopIfTrue="1">
      <formula>$J$102&gt;0</formula>
    </cfRule>
  </conditionalFormatting>
  <conditionalFormatting sqref="G91:G92 G94:G97">
    <cfRule type="expression" dxfId="21" priority="13" stopIfTrue="1">
      <formula>$J$82&gt;0</formula>
    </cfRule>
  </conditionalFormatting>
  <conditionalFormatting sqref="K93:N93">
    <cfRule type="expression" dxfId="20" priority="14" stopIfTrue="1">
      <formula>AND($J$82&gt;0,$G$92=1)</formula>
    </cfRule>
  </conditionalFormatting>
  <conditionalFormatting sqref="K98:N98">
    <cfRule type="expression" dxfId="19" priority="15" stopIfTrue="1">
      <formula>AND($J$82&gt;0,$G$97=1)</formula>
    </cfRule>
  </conditionalFormatting>
  <conditionalFormatting sqref="G196:G200">
    <cfRule type="expression" dxfId="18" priority="16" stopIfTrue="1">
      <formula>$J$187&gt;0</formula>
    </cfRule>
  </conditionalFormatting>
  <conditionalFormatting sqref="G40:G59">
    <cfRule type="expression" dxfId="17" priority="17" stopIfTrue="1">
      <formula>AND($J$30&gt;0,$H$37=$T$3)</formula>
    </cfRule>
  </conditionalFormatting>
  <conditionalFormatting sqref="F22 F65 F74 F124 F150 F169 F179 F205 F234">
    <cfRule type="expression" dxfId="16" priority="18" stopIfTrue="1">
      <formula>AND(OR(F22&lt;1,F22&gt;5),F22&lt;&gt;0)</formula>
    </cfRule>
    <cfRule type="expression" dxfId="15" priority="19" stopIfTrue="1">
      <formula>$J21&gt;0</formula>
    </cfRule>
  </conditionalFormatting>
  <conditionalFormatting sqref="F37 F17">
    <cfRule type="expression" dxfId="14" priority="5" stopIfTrue="1">
      <formula>AND(OR(F17&lt;1,F17&gt;5),F17&lt;&gt;0)</formula>
    </cfRule>
    <cfRule type="expression" dxfId="13" priority="6" stopIfTrue="1">
      <formula>H17=$T$4</formula>
    </cfRule>
  </conditionalFormatting>
  <conditionalFormatting sqref="H37">
    <cfRule type="expression" dxfId="12" priority="4">
      <formula>J30&gt;0</formula>
    </cfRule>
  </conditionalFormatting>
  <dataValidations xWindow="203" yWindow="331" count="9">
    <dataValidation type="list" allowBlank="1" showInputMessage="1" showErrorMessage="1" sqref="G227 G58:G59 G224 G196:G197 G40:G43">
      <formula1>"0,1,2"</formula1>
    </dataValidation>
    <dataValidation type="list" allowBlank="1" showInputMessage="1" showErrorMessage="1" sqref="G91:G92 G116:G117 G94:G97 G111:G114">
      <formula1>"0,1,対象外"</formula1>
    </dataValidation>
    <dataValidation type="list" allowBlank="1" showInputMessage="1" showErrorMessage="1" sqref="G115">
      <formula1>"0,1,2,対象外"</formula1>
    </dataValidation>
    <dataValidation type="list" allowBlank="1" showInputMessage="1" showErrorMessage="1" sqref="G198:G200">
      <formula1>"0,1,2,4"</formula1>
    </dataValidation>
    <dataValidation type="list" allowBlank="1" showInputMessage="1" showErrorMessage="1" sqref="G44:G57">
      <formula1>"0,1,2,3"</formula1>
    </dataValidation>
    <dataValidation type="list" allowBlank="1" showInputMessage="1" sqref="F22 F65 F74 F124 F150 F169 F179 F205 F234">
      <formula1>$B23:$B28</formula1>
    </dataValidation>
    <dataValidation type="list" allowBlank="1" showInputMessage="1" showErrorMessage="1" sqref="H37 H17">
      <formula1>$T$3:$T$4</formula1>
    </dataValidation>
    <dataValidation type="list" allowBlank="1" showInputMessage="1" sqref="F37">
      <formula1>$B32:$B37</formula1>
    </dataValidation>
    <dataValidation type="decimal" allowBlank="1" showInputMessage="1" sqref="F17">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80" fitToHeight="0" orientation="portrait" verticalDpi="4294967293" r:id="rId1"/>
  <headerFooter alignWithMargins="0">
    <oddHeader>&amp;L&amp;F&amp;R&amp;A</oddHeader>
    <oddFooter>&amp;C&amp;P/&amp;N</oddFooter>
  </headerFooter>
  <rowBreaks count="5" manualBreakCount="5">
    <brk id="28" max="16383" man="1"/>
    <brk id="61" min="3" max="15" man="1"/>
    <brk id="100" min="3" max="15" man="1"/>
    <brk id="147" min="3" max="15" man="1"/>
    <brk id="185" min="3"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B183"/>
  <sheetViews>
    <sheetView showGridLines="0" zoomScaleNormal="100" zoomScaleSheetLayoutView="100" workbookViewId="0">
      <selection activeCell="K5" sqref="K5"/>
    </sheetView>
  </sheetViews>
  <sheetFormatPr defaultColWidth="0" defaultRowHeight="13" zeroHeight="1"/>
  <cols>
    <col min="1" max="1" width="1.08984375" customWidth="1"/>
    <col min="2" max="2" width="2.36328125" customWidth="1"/>
    <col min="3" max="3" width="2" customWidth="1"/>
    <col min="4" max="4" width="17" customWidth="1"/>
    <col min="5" max="5" width="20.08984375" customWidth="1"/>
    <col min="6" max="6" width="7.453125" bestFit="1" customWidth="1"/>
    <col min="7" max="7" width="2" customWidth="1"/>
    <col min="8" max="8" width="10" customWidth="1"/>
    <col min="9" max="9" width="9.6328125" customWidth="1"/>
    <col min="10" max="10" width="8.90625" customWidth="1"/>
    <col min="11" max="11" width="9.08984375" customWidth="1"/>
    <col min="12" max="12" width="11.7265625" bestFit="1" customWidth="1"/>
    <col min="13" max="13" width="6" bestFit="1" customWidth="1"/>
    <col min="14" max="14" width="8" bestFit="1" customWidth="1"/>
    <col min="15" max="15" width="11.7265625" bestFit="1" customWidth="1"/>
    <col min="16" max="16" width="2.6328125" customWidth="1"/>
    <col min="17" max="17" width="6.26953125" hidden="1" customWidth="1"/>
    <col min="18" max="18" width="9.08984375" hidden="1" customWidth="1"/>
    <col min="19" max="19" width="13" hidden="1" customWidth="1"/>
    <col min="20" max="20" width="6.90625" hidden="1" customWidth="1"/>
    <col min="21" max="21" width="12" hidden="1" customWidth="1"/>
    <col min="22" max="22" width="5" hidden="1" customWidth="1"/>
    <col min="23" max="23" width="6.08984375" hidden="1" customWidth="1"/>
    <col min="24" max="24" width="8" hidden="1" customWidth="1"/>
    <col min="25" max="25" width="6.36328125" hidden="1" customWidth="1"/>
    <col min="26" max="26" width="5" hidden="1" customWidth="1"/>
    <col min="27" max="28" width="5.26953125" hidden="1" customWidth="1"/>
    <col min="29" max="16384" width="9" hidden="1"/>
  </cols>
  <sheetData>
    <row r="1" spans="1:27" ht="7.5" customHeight="1" thickBot="1">
      <c r="A1" s="133"/>
    </row>
    <row r="2" spans="1:27" ht="14">
      <c r="B2" s="824" t="str">
        <f>メイン!C6</f>
        <v>CASBEE-建築(新築)2016年版</v>
      </c>
      <c r="C2" s="825"/>
      <c r="D2" s="826"/>
      <c r="E2" s="827"/>
      <c r="F2" s="2286"/>
      <c r="G2" s="2286"/>
      <c r="H2" s="2286"/>
      <c r="I2" s="2286"/>
      <c r="J2" s="2286"/>
      <c r="K2" s="2286"/>
      <c r="L2" s="3594" t="s">
        <v>2157</v>
      </c>
      <c r="M2" s="3594"/>
      <c r="N2" s="3595" t="str">
        <f>メイン!C6</f>
        <v>CASBEE-建築(新築)2016年版</v>
      </c>
      <c r="O2" s="3596"/>
    </row>
    <row r="3" spans="1:27" ht="13.5" thickBot="1">
      <c r="B3" s="829" t="str">
        <f>メイン!C11</f>
        <v>○○ビル</v>
      </c>
      <c r="C3" s="830"/>
      <c r="D3" s="831"/>
      <c r="E3" s="832"/>
      <c r="F3" s="2286"/>
      <c r="G3" s="2286"/>
      <c r="H3" s="2286"/>
      <c r="I3" s="2286"/>
      <c r="J3" s="2286"/>
      <c r="K3" s="2286"/>
      <c r="L3" s="3594" t="s">
        <v>2578</v>
      </c>
      <c r="M3" s="3597"/>
      <c r="N3" s="2252" t="str">
        <f>メイン!C5</f>
        <v>CASBEE-BD_NC_2016(v3.0)</v>
      </c>
      <c r="O3" s="833"/>
    </row>
    <row r="4" spans="1:27" ht="6.75" customHeight="1" thickBot="1">
      <c r="B4" s="2286"/>
      <c r="C4" s="2286"/>
      <c r="D4" s="2286"/>
      <c r="E4" s="2286"/>
      <c r="F4" s="2286"/>
      <c r="G4" s="2286"/>
      <c r="H4" s="2286"/>
      <c r="I4" s="2286"/>
      <c r="J4" s="2286"/>
      <c r="K4" s="2286"/>
      <c r="L4" s="2286"/>
      <c r="M4" s="2286"/>
      <c r="N4" s="2286"/>
      <c r="O4" s="2286"/>
    </row>
    <row r="5" spans="1:27" ht="17">
      <c r="B5" s="834" t="s">
        <v>2394</v>
      </c>
      <c r="C5" s="835"/>
      <c r="D5" s="836"/>
      <c r="E5" s="837"/>
      <c r="F5" s="838"/>
      <c r="G5" s="838"/>
      <c r="H5" s="838"/>
      <c r="I5" s="838"/>
      <c r="J5" s="838"/>
      <c r="K5" s="835"/>
      <c r="L5" s="839"/>
      <c r="M5" s="840"/>
      <c r="N5" s="841"/>
      <c r="O5" s="842"/>
    </row>
    <row r="6" spans="1:27" ht="14">
      <c r="B6" s="843"/>
      <c r="C6" s="844"/>
      <c r="D6" s="845"/>
      <c r="E6" s="846"/>
      <c r="F6" s="847"/>
      <c r="G6" s="847"/>
      <c r="H6" s="847"/>
      <c r="I6" s="847"/>
      <c r="J6" s="847"/>
      <c r="K6" s="844"/>
      <c r="L6" s="2128" t="s">
        <v>2395</v>
      </c>
      <c r="M6" s="849"/>
      <c r="N6" s="850"/>
      <c r="O6" s="2285" t="s">
        <v>2396</v>
      </c>
      <c r="R6" t="s">
        <v>772</v>
      </c>
      <c r="S6" t="s">
        <v>771</v>
      </c>
      <c r="T6" t="s">
        <v>773</v>
      </c>
      <c r="U6" t="s">
        <v>774</v>
      </c>
    </row>
    <row r="7" spans="1:27" s="2249" customFormat="1" ht="16">
      <c r="B7" s="851" t="s">
        <v>1951</v>
      </c>
      <c r="C7" s="844"/>
      <c r="D7" s="845"/>
      <c r="E7" s="846"/>
      <c r="F7" s="847"/>
      <c r="G7" s="847"/>
      <c r="H7" s="847"/>
      <c r="I7" s="847"/>
      <c r="J7" s="847"/>
      <c r="K7" s="844"/>
      <c r="L7" s="852"/>
      <c r="M7" s="849"/>
      <c r="N7" s="850"/>
      <c r="O7" s="854"/>
      <c r="R7" t="s">
        <v>3049</v>
      </c>
      <c r="S7"/>
      <c r="T7" s="2249" t="s">
        <v>3050</v>
      </c>
      <c r="U7" s="2427">
        <f>SUM(S8:S20)+U21+S22+S23+S25</f>
        <v>0</v>
      </c>
    </row>
    <row r="8" spans="1:27" ht="15">
      <c r="B8" s="2071"/>
      <c r="C8" s="855" t="s">
        <v>1953</v>
      </c>
      <c r="D8" s="856"/>
      <c r="E8" s="846"/>
      <c r="F8" s="847"/>
      <c r="G8" s="847"/>
      <c r="H8" s="852"/>
      <c r="I8" s="853"/>
      <c r="J8" s="852" t="s">
        <v>1952</v>
      </c>
      <c r="K8" s="853"/>
      <c r="L8" s="852" t="s">
        <v>1952</v>
      </c>
      <c r="M8" s="853"/>
      <c r="N8" s="853"/>
      <c r="O8" s="854" t="s">
        <v>1952</v>
      </c>
      <c r="R8" s="1" t="str">
        <f>メイン!B47</f>
        <v xml:space="preserve"> 事務所</v>
      </c>
      <c r="S8" s="2426">
        <f>メイン!C47</f>
        <v>0</v>
      </c>
    </row>
    <row r="9" spans="1:27" ht="15">
      <c r="B9" s="2071"/>
      <c r="C9" s="862"/>
      <c r="D9" s="862" t="s">
        <v>332</v>
      </c>
      <c r="E9" s="860"/>
      <c r="F9" s="2287" t="s">
        <v>1642</v>
      </c>
      <c r="G9" s="860"/>
      <c r="H9" s="857" t="s">
        <v>1643</v>
      </c>
      <c r="I9" s="857" t="s">
        <v>1644</v>
      </c>
      <c r="J9" s="857" t="s">
        <v>1645</v>
      </c>
      <c r="K9" s="858" t="s">
        <v>330</v>
      </c>
      <c r="L9" s="859" t="s">
        <v>331</v>
      </c>
      <c r="M9" s="860"/>
      <c r="N9" s="858" t="s">
        <v>330</v>
      </c>
      <c r="O9" s="861" t="s">
        <v>331</v>
      </c>
      <c r="R9" s="1">
        <f>メイン!B48</f>
        <v>0</v>
      </c>
      <c r="S9" s="2426">
        <f>メイン!C48</f>
        <v>0</v>
      </c>
    </row>
    <row r="10" spans="1:27">
      <c r="B10" s="2075"/>
      <c r="C10" s="862"/>
      <c r="D10" s="862"/>
      <c r="E10" s="862" t="s">
        <v>462</v>
      </c>
      <c r="F10" s="2288">
        <f>IF($U$7=0,0,S8/$U$7)</f>
        <v>0</v>
      </c>
      <c r="G10" s="860"/>
      <c r="H10" s="2288">
        <f>IF(OR($F$20=$R$6,$F$20=$U$6),CO2データ!I12,IF($F$20=$S$6,CO2データ!L12,CO2データ!O12))</f>
        <v>13.998000000000001</v>
      </c>
      <c r="I10" s="2288">
        <f>IF(OR($F$20=$R$6,$F$20=$U$6),CO2データ!J12,IF($F$20=$S$6,CO2データ!M12,CO2データ!P12))</f>
        <v>13.998000000000001</v>
      </c>
      <c r="J10" s="2289">
        <f>IF(OR($F$20=$R$6,$F$20=$U$6),CO2データ!K12,IF($F$20=$S$6,CO2データ!N12,CO2データ!Q12))</f>
        <v>13.998000000000001</v>
      </c>
      <c r="K10" s="2086">
        <f>スコア!O83</f>
        <v>3</v>
      </c>
      <c r="L10" s="2290">
        <f t="shared" ref="L10:L18" si="0">IF(K10&gt;=5,$J10,IF(K10&gt;=4,$I10,$H10))</f>
        <v>13.998000000000001</v>
      </c>
      <c r="M10" s="860"/>
      <c r="N10" s="2086">
        <v>3</v>
      </c>
      <c r="O10" s="2291">
        <f>IF(OR($F$20=$R$6,$F$20=$U$6),CO2データ!I7,IF($F$20=$S$6,CO2データ!L7,CO2データ!O7))</f>
        <v>13.998000000000001</v>
      </c>
      <c r="R10" s="1" t="str">
        <f>メイン!B49</f>
        <v xml:space="preserve"> 学校</v>
      </c>
      <c r="S10" s="2426">
        <f>メイン!C49</f>
        <v>0</v>
      </c>
    </row>
    <row r="11" spans="1:27">
      <c r="B11" s="2075"/>
      <c r="C11" s="862"/>
      <c r="D11" s="2292"/>
      <c r="E11" s="862" t="s">
        <v>1795</v>
      </c>
      <c r="F11" s="2288">
        <f>IF($U$7=0,0,S10/$U$7)</f>
        <v>0</v>
      </c>
      <c r="G11" s="860"/>
      <c r="H11" s="2288">
        <f>IF(OR($F$20=$R$6,$F$20=$U$6),CO2データ!I18,IF($F$20=$S$6,CO2データ!L18,CO2データ!O18))</f>
        <v>14.002000000000002</v>
      </c>
      <c r="I11" s="2288">
        <f>IF(OR($F$20=$R$6,$F$20=$U$6),CO2データ!J18,IF($F$20=$S$6,CO2データ!M18,CO2データ!P18))</f>
        <v>14.002000000000002</v>
      </c>
      <c r="J11" s="2289">
        <f>IF(OR($F$20=$R$6,$F$20=$U$6),CO2データ!K18,IF($F$20=$S$6,CO2データ!N18,CO2データ!Q18))</f>
        <v>14.002000000000002</v>
      </c>
      <c r="K11" s="2086">
        <f t="shared" ref="K11:K18" si="1">K$10</f>
        <v>3</v>
      </c>
      <c r="L11" s="2290">
        <f t="shared" si="0"/>
        <v>14.002000000000002</v>
      </c>
      <c r="M11" s="860"/>
      <c r="N11" s="2086">
        <f t="shared" ref="N11:N18" si="2">N$10</f>
        <v>3</v>
      </c>
      <c r="O11" s="2291">
        <f>IF(OR($F$20=$R$6,$F$20=$U$6),CO2データ!I13,IF($F$20=$S$6,CO2データ!L13,CO2データ!O13))</f>
        <v>14.002000000000002</v>
      </c>
      <c r="R11" s="1">
        <f>メイン!B50</f>
        <v>0</v>
      </c>
      <c r="S11" s="2426">
        <f>メイン!C50</f>
        <v>0</v>
      </c>
      <c r="AA11" t="str">
        <f>重み!AB6</f>
        <v>学校</v>
      </c>
    </row>
    <row r="12" spans="1:27">
      <c r="B12" s="2075"/>
      <c r="C12" s="862"/>
      <c r="D12" s="862"/>
      <c r="E12" s="862" t="s">
        <v>466</v>
      </c>
      <c r="F12" s="2288">
        <f>IF($U$7=0,0,S15/$U$7)</f>
        <v>0</v>
      </c>
      <c r="G12" s="860"/>
      <c r="H12" s="2288">
        <f>IF(OR($F$20=$R$6,$F$20=$U$6),CO2データ!I24,IF($F$20=$S$6,CO2データ!L24,CO2データ!O24))</f>
        <v>16.960999999999999</v>
      </c>
      <c r="I12" s="2288">
        <f>IF(OR($F$20=$R$6,$F$20=$U$6),CO2データ!J24,IF($F$20=$S$6,CO2データ!M24,CO2データ!P24))</f>
        <v>16.960999999999999</v>
      </c>
      <c r="J12" s="2289">
        <f>IF(OR($F$20=$R$6,$F$20=$U$6),CO2データ!K24,IF($F$20=$S$6,CO2データ!N24,CO2データ!Q24))</f>
        <v>16.960999999999999</v>
      </c>
      <c r="K12" s="2086">
        <f t="shared" si="1"/>
        <v>3</v>
      </c>
      <c r="L12" s="2290">
        <f t="shared" si="0"/>
        <v>16.960999999999999</v>
      </c>
      <c r="M12" s="860"/>
      <c r="N12" s="2086">
        <f t="shared" si="2"/>
        <v>3</v>
      </c>
      <c r="O12" s="2291">
        <f>IF(OR($F$20=$R$6,$F$20=$U$6),CO2データ!I19,IF($F$20=$S$6,CO2データ!L19,CO2データ!O19))</f>
        <v>16.960999999999999</v>
      </c>
      <c r="R12" s="1">
        <f>メイン!B51</f>
        <v>0</v>
      </c>
      <c r="S12" s="2426">
        <f>メイン!C51</f>
        <v>0</v>
      </c>
      <c r="AA12" t="e">
        <f>重み!AB7</f>
        <v>#DIV/0!</v>
      </c>
    </row>
    <row r="13" spans="1:27">
      <c r="B13" s="2075"/>
      <c r="C13" s="862"/>
      <c r="D13" s="862"/>
      <c r="E13" s="862" t="s">
        <v>468</v>
      </c>
      <c r="F13" s="2288">
        <f>IF($U$7=0,0,S17/$U$7)</f>
        <v>0</v>
      </c>
      <c r="G13" s="860"/>
      <c r="H13" s="2288">
        <f>IF(OR($F$20=$R$6,$F$20=$U$6),CO2データ!I30,IF($F$20=$S$6,CO2データ!L30,CO2データ!O30))</f>
        <v>16.960999999999999</v>
      </c>
      <c r="I13" s="2288">
        <f>IF(OR($F$20=$R$6,$F$20=$U$6),CO2データ!J30,IF($F$20=$S$6,CO2データ!M30,CO2データ!P30))</f>
        <v>16.960999999999999</v>
      </c>
      <c r="J13" s="2289">
        <f>IF(OR($F$20=$R$6,$F$20=$U$6),CO2データ!K30,IF($F$20=$S$6,CO2データ!N30,CO2データ!Q30))</f>
        <v>16.960999999999999</v>
      </c>
      <c r="K13" s="2086">
        <f t="shared" si="1"/>
        <v>3</v>
      </c>
      <c r="L13" s="2290">
        <f t="shared" si="0"/>
        <v>16.960999999999999</v>
      </c>
      <c r="M13" s="860"/>
      <c r="N13" s="2086">
        <f t="shared" si="2"/>
        <v>3</v>
      </c>
      <c r="O13" s="2291">
        <f>IF(OR($F$20=$R$6,$F$20=$U$6),CO2データ!I25,IF($F$20=$S$6,CO2データ!L25,CO2データ!O25))</f>
        <v>16.960999999999999</v>
      </c>
      <c r="R13" s="1">
        <f>メイン!B52</f>
        <v>0</v>
      </c>
      <c r="S13" s="2426">
        <f>メイン!C52</f>
        <v>0</v>
      </c>
    </row>
    <row r="14" spans="1:27">
      <c r="B14" s="2075"/>
      <c r="C14" s="862"/>
      <c r="D14" s="862"/>
      <c r="E14" s="2077" t="s">
        <v>1973</v>
      </c>
      <c r="F14" s="2288">
        <f>IF($U$7=0,0,S18/$U$7)</f>
        <v>0</v>
      </c>
      <c r="G14" s="860"/>
      <c r="H14" s="2288">
        <f>IF(OR($F$20=$R$6,$F$20=$U$6),CO2データ!I36,IF($F$20=$S$6,CO2データ!L36,CO2データ!O36))</f>
        <v>13.079000000000001</v>
      </c>
      <c r="I14" s="2288">
        <f>IF(OR($F$20=$R$6,$F$20=$U$6),CO2データ!J36,IF($F$20=$S$6,CO2データ!M36,CO2データ!P36))</f>
        <v>13.079000000000001</v>
      </c>
      <c r="J14" s="2289">
        <f>IF(OR($F$20=$R$6,$F$20=$U$6),CO2データ!K36,IF($F$20=$S$6,CO2データ!N36,CO2データ!Q36))</f>
        <v>13.079000000000001</v>
      </c>
      <c r="K14" s="2086">
        <f t="shared" si="1"/>
        <v>3</v>
      </c>
      <c r="L14" s="2290">
        <f t="shared" si="0"/>
        <v>13.079000000000001</v>
      </c>
      <c r="M14" s="860"/>
      <c r="N14" s="2086">
        <f t="shared" si="2"/>
        <v>3</v>
      </c>
      <c r="O14" s="2291">
        <f>IF(OR($F$20=$R$6,$F$20=$U$6),CO2データ!I31,IF($F$20=$S$6,CO2データ!L31,CO2データ!O31))</f>
        <v>13.079000000000001</v>
      </c>
      <c r="R14" s="1">
        <f>メイン!B53</f>
        <v>0</v>
      </c>
      <c r="S14" s="2426">
        <f>メイン!C53</f>
        <v>0</v>
      </c>
    </row>
    <row r="15" spans="1:27">
      <c r="B15" s="2075"/>
      <c r="C15" s="862"/>
      <c r="D15" s="862"/>
      <c r="E15" s="2077" t="s">
        <v>478</v>
      </c>
      <c r="F15" s="2288">
        <f>IF($U$7=0,0,U21/$U$7)</f>
        <v>0</v>
      </c>
      <c r="G15" s="860"/>
      <c r="H15" s="2288">
        <f>IF(OR($F$20=$R$6,$F$20=$U$6),CO2データ!I42,IF($F$20=$S$6,CO2データ!L42,CO2データ!O42))</f>
        <v>23.650000000000002</v>
      </c>
      <c r="I15" s="2288">
        <f>IF(OR($F$20=$R$6,$F$20=$U$6),CO2データ!J42,IF($F$20=$S$6,CO2データ!M42,CO2データ!P42))</f>
        <v>23.650000000000002</v>
      </c>
      <c r="J15" s="2289">
        <f>IF(OR($F$20=$R$6,$F$20=$U$6),CO2データ!K42,IF($F$20=$S$6,CO2データ!N42,CO2データ!Q42))</f>
        <v>23.650000000000002</v>
      </c>
      <c r="K15" s="2086">
        <f t="shared" si="1"/>
        <v>3</v>
      </c>
      <c r="L15" s="2290">
        <f t="shared" si="0"/>
        <v>23.650000000000002</v>
      </c>
      <c r="M15" s="860"/>
      <c r="N15" s="2086">
        <f t="shared" si="2"/>
        <v>3</v>
      </c>
      <c r="O15" s="2291">
        <f>IF(OR($F$20=$R$6,$F$20=$U$6),CO2データ!I37,IF($F$20=$S$6,CO2データ!L37,CO2データ!O37))</f>
        <v>23.650000000000002</v>
      </c>
      <c r="R15" s="1" t="str">
        <f>メイン!B54</f>
        <v xml:space="preserve"> 物販店</v>
      </c>
      <c r="S15" s="2426">
        <f>メイン!C54</f>
        <v>0</v>
      </c>
    </row>
    <row r="16" spans="1:27">
      <c r="B16" s="2075"/>
      <c r="C16" s="862"/>
      <c r="D16" s="862"/>
      <c r="E16" s="2077" t="s">
        <v>472</v>
      </c>
      <c r="F16" s="2288">
        <f>IF($U$7=0,0,S22/$U$7)</f>
        <v>0</v>
      </c>
      <c r="G16" s="860"/>
      <c r="H16" s="2288">
        <f>IF(OR($F$20=$R$6,$F$20=$U$6),CO2データ!I48,IF($F$20=$S$6,CO2データ!L48,CO2データ!O48))</f>
        <v>13.704000000000001</v>
      </c>
      <c r="I16" s="2288">
        <f>IF(OR($F$20=$R$6,$F$20=$U$6),CO2データ!J48,IF($F$20=$S$6,CO2データ!M48,CO2データ!P48))</f>
        <v>13.704000000000001</v>
      </c>
      <c r="J16" s="2289">
        <f>IF(OR($F$20=$R$6,$F$20=$U$6),CO2データ!K48,IF($F$20=$S$6,CO2データ!N48,CO2データ!Q48))</f>
        <v>13.704000000000001</v>
      </c>
      <c r="K16" s="2086">
        <f t="shared" si="1"/>
        <v>3</v>
      </c>
      <c r="L16" s="2290">
        <f t="shared" si="0"/>
        <v>13.704000000000001</v>
      </c>
      <c r="M16" s="860"/>
      <c r="N16" s="2086">
        <f t="shared" si="2"/>
        <v>3</v>
      </c>
      <c r="O16" s="2291">
        <f>IF(OR($F$20=$R$6,$F$20=$U$6),CO2データ!I43,IF($F$20=$S$6,CO2データ!L43,CO2データ!O43))</f>
        <v>13.704000000000001</v>
      </c>
      <c r="R16" s="1">
        <f>メイン!B55</f>
        <v>0</v>
      </c>
      <c r="S16" s="2426">
        <f>メイン!C55</f>
        <v>0</v>
      </c>
    </row>
    <row r="17" spans="2:22">
      <c r="B17" s="2075"/>
      <c r="C17" s="862"/>
      <c r="D17" s="862"/>
      <c r="E17" s="2077" t="s">
        <v>333</v>
      </c>
      <c r="F17" s="2288">
        <f>IF($U$7=0,0,S23/$U$7)</f>
        <v>0</v>
      </c>
      <c r="G17" s="860"/>
      <c r="H17" s="2288">
        <f>IF(OR($F$20=$R$6,$F$20=$U$6),CO2データ!I54,IF($F$20=$S$6,CO2データ!L54,CO2データ!O54))</f>
        <v>13.53</v>
      </c>
      <c r="I17" s="2288">
        <f>IF(OR($F$20=$R$6,$F$20=$U$6),CO2データ!J54,IF($F$20=$S$6,CO2データ!M54,CO2データ!P54))</f>
        <v>13.53</v>
      </c>
      <c r="J17" s="2289">
        <f>IF(OR($F$20=$R$6,$F$20=$U$6),CO2データ!K54,IF($F$20=$S$6,CO2データ!N54,CO2データ!Q54))</f>
        <v>13.53</v>
      </c>
      <c r="K17" s="2086">
        <f t="shared" si="1"/>
        <v>3</v>
      </c>
      <c r="L17" s="2290">
        <f t="shared" si="0"/>
        <v>13.53</v>
      </c>
      <c r="M17" s="860"/>
      <c r="N17" s="2086">
        <f t="shared" si="2"/>
        <v>3</v>
      </c>
      <c r="O17" s="2291">
        <f>IF(OR($F$20=$R$6,$F$20=$U$6),CO2データ!I49,IF($F$20=$S$6,CO2データ!L49,CO2データ!O49))</f>
        <v>13.53</v>
      </c>
      <c r="R17" s="1" t="str">
        <f>メイン!B56</f>
        <v xml:space="preserve"> 飲食店</v>
      </c>
      <c r="S17" s="2426">
        <f>メイン!C56</f>
        <v>0</v>
      </c>
    </row>
    <row r="18" spans="2:22">
      <c r="B18" s="2075"/>
      <c r="C18" s="862"/>
      <c r="D18" s="862"/>
      <c r="E18" s="2077" t="s">
        <v>1954</v>
      </c>
      <c r="F18" s="2288">
        <f>IF($U$7=0,0,S25/$U$7)</f>
        <v>0</v>
      </c>
      <c r="G18" s="860"/>
      <c r="H18" s="2288">
        <f>IF(OR($F$20=$R$6,$F$20=$U$6),CO2データ!I60,IF($F$20=$S$6,CO2データ!L60,CO2データ!O60))</f>
        <v>22.378</v>
      </c>
      <c r="I18" s="2288">
        <f>IF(OR($F$20=$R$6,$F$20=$U$6),CO2データ!J60,IF($F$20=$S$6,CO2データ!M60,CO2データ!P60))</f>
        <v>11.187999999999999</v>
      </c>
      <c r="J18" s="2289">
        <f>IF(OR($F$20=$R$6,$F$20=$U$6),CO2データ!K60,IF($F$20=$S$6,CO2データ!N60,CO2データ!Q60))</f>
        <v>7.4590000000000005</v>
      </c>
      <c r="K18" s="2086">
        <f t="shared" si="1"/>
        <v>3</v>
      </c>
      <c r="L18" s="2290">
        <f t="shared" si="0"/>
        <v>22.378</v>
      </c>
      <c r="M18" s="860"/>
      <c r="N18" s="2086">
        <f t="shared" si="2"/>
        <v>3</v>
      </c>
      <c r="O18" s="2291">
        <f>IF(OR($F$20=$R$6,$F$20=$U$6),CO2データ!I55,IF($F$20=$S$6,CO2データ!L55,CO2データ!O55))</f>
        <v>22.378</v>
      </c>
      <c r="R18" s="1" t="str">
        <f>メイン!B57</f>
        <v xml:space="preserve"> 集会所</v>
      </c>
      <c r="S18" s="2426">
        <f>メイン!C57</f>
        <v>0</v>
      </c>
    </row>
    <row r="19" spans="2:22">
      <c r="B19" s="2075"/>
      <c r="C19" s="862"/>
      <c r="D19" s="862"/>
      <c r="E19" s="862"/>
      <c r="F19" s="862"/>
      <c r="G19" s="862"/>
      <c r="H19" s="862"/>
      <c r="I19" s="2293"/>
      <c r="J19" s="2293"/>
      <c r="K19" s="2294"/>
      <c r="L19" s="2295"/>
      <c r="M19" s="860"/>
      <c r="N19" s="2294"/>
      <c r="O19" s="2296"/>
      <c r="R19" s="1">
        <f>メイン!B58</f>
        <v>0</v>
      </c>
      <c r="S19" s="2426">
        <f>メイン!C58</f>
        <v>0</v>
      </c>
    </row>
    <row r="20" spans="2:22">
      <c r="B20" s="2075"/>
      <c r="C20" s="860"/>
      <c r="D20" s="860" t="s">
        <v>334</v>
      </c>
      <c r="E20" s="860"/>
      <c r="F20" s="2297">
        <f>メイン!C23</f>
        <v>0</v>
      </c>
      <c r="G20" s="860"/>
      <c r="H20" s="2298"/>
      <c r="I20" s="2298"/>
      <c r="J20" s="2298"/>
      <c r="K20" s="2299"/>
      <c r="L20" s="860"/>
      <c r="M20" s="860"/>
      <c r="N20" s="2299"/>
      <c r="O20" s="2300"/>
      <c r="R20" s="1">
        <f>メイン!B59</f>
        <v>0</v>
      </c>
      <c r="S20" s="2426">
        <f>メイン!C59</f>
        <v>0</v>
      </c>
      <c r="V20" s="2417"/>
    </row>
    <row r="21" spans="2:22">
      <c r="B21" s="2301"/>
      <c r="C21" s="2072"/>
      <c r="D21" s="2072" t="s">
        <v>335</v>
      </c>
      <c r="E21" s="2072"/>
      <c r="F21" s="2302">
        <f>'条件(標準)'!E31</f>
        <v>0</v>
      </c>
      <c r="G21" s="2072"/>
      <c r="H21" s="2072"/>
      <c r="I21" s="2072"/>
      <c r="J21" s="2072"/>
      <c r="K21" s="2072"/>
      <c r="L21" s="2072"/>
      <c r="M21" s="2072"/>
      <c r="N21" s="2303">
        <v>0</v>
      </c>
      <c r="O21" s="2201"/>
      <c r="R21" s="1" t="str">
        <f>メイン!B60</f>
        <v xml:space="preserve"> 工場</v>
      </c>
      <c r="S21" s="2426">
        <f>メイン!C60</f>
        <v>0</v>
      </c>
      <c r="T21" s="2426" t="str">
        <f>メイン!D60</f>
        <v>㎡ 　うち省エネ計画対象面積</v>
      </c>
      <c r="U21" s="2426">
        <f>メイン!E60</f>
        <v>0</v>
      </c>
      <c r="V21" s="2417"/>
    </row>
    <row r="22" spans="2:22">
      <c r="B22" s="2301"/>
      <c r="C22" s="2072"/>
      <c r="D22" s="2072" t="s">
        <v>2397</v>
      </c>
      <c r="E22" s="2072"/>
      <c r="F22" s="2302">
        <f>'条件(標準)'!E30</f>
        <v>0</v>
      </c>
      <c r="G22" s="2072"/>
      <c r="H22" s="2072"/>
      <c r="I22" s="2072"/>
      <c r="J22" s="2072"/>
      <c r="K22" s="2072"/>
      <c r="L22" s="2072"/>
      <c r="M22" s="2072"/>
      <c r="N22" s="2303">
        <v>0</v>
      </c>
      <c r="O22" s="2201"/>
      <c r="R22" s="1" t="str">
        <f>メイン!B61</f>
        <v xml:space="preserve"> 病院</v>
      </c>
      <c r="S22" s="2426">
        <f>メイン!C61</f>
        <v>0</v>
      </c>
      <c r="V22" s="2417"/>
    </row>
    <row r="23" spans="2:22" ht="5.25" customHeight="1" thickBot="1">
      <c r="B23" s="2301"/>
      <c r="C23" s="2072"/>
      <c r="D23" s="2072"/>
      <c r="E23" s="2072"/>
      <c r="F23" s="2072"/>
      <c r="G23" s="2072"/>
      <c r="H23" s="2072"/>
      <c r="I23" s="2072"/>
      <c r="J23" s="2072"/>
      <c r="K23" s="2072"/>
      <c r="L23" s="2072"/>
      <c r="M23" s="2072"/>
      <c r="N23" s="2072"/>
      <c r="O23" s="2201"/>
      <c r="R23" s="1" t="str">
        <f>メイン!B62</f>
        <v xml:space="preserve"> ホテル</v>
      </c>
      <c r="S23" s="2426">
        <f>メイン!C62</f>
        <v>0</v>
      </c>
    </row>
    <row r="24" spans="2:22" ht="13.5" thickBot="1">
      <c r="B24" s="2301"/>
      <c r="C24" s="855" t="s">
        <v>2398</v>
      </c>
      <c r="D24" s="862"/>
      <c r="E24" s="860"/>
      <c r="F24" s="2072"/>
      <c r="G24" s="2072"/>
      <c r="H24" s="2072"/>
      <c r="I24" s="2072"/>
      <c r="J24" s="2072"/>
      <c r="K24" s="2072"/>
      <c r="L24" s="2304">
        <f>SUMPRODUCT(F10:F18,L10:L18)</f>
        <v>0</v>
      </c>
      <c r="M24" s="2072"/>
      <c r="N24" s="2072"/>
      <c r="O24" s="2304">
        <f>SUMPRODUCT(F10:F18,O10:O18)</f>
        <v>0</v>
      </c>
      <c r="R24" s="1" t="str">
        <f>メイン!B63</f>
        <v xml:space="preserve"> 非住宅　小計</v>
      </c>
      <c r="S24" s="2426">
        <f>メイン!C63</f>
        <v>0</v>
      </c>
    </row>
    <row r="25" spans="2:22">
      <c r="B25" s="2301"/>
      <c r="C25" s="860"/>
      <c r="D25" s="862"/>
      <c r="E25" s="2077"/>
      <c r="F25" s="2072"/>
      <c r="G25" s="2072"/>
      <c r="H25" s="2072"/>
      <c r="I25" s="2072"/>
      <c r="J25" s="2072"/>
      <c r="K25" s="2072"/>
      <c r="L25" s="2305"/>
      <c r="M25" s="2072"/>
      <c r="N25" s="2072"/>
      <c r="O25" s="2306"/>
      <c r="R25" s="1" t="str">
        <f>メイン!B64</f>
        <v xml:space="preserve"> 集合住宅</v>
      </c>
      <c r="S25" s="2426">
        <f>メイン!C64</f>
        <v>0</v>
      </c>
    </row>
    <row r="26" spans="2:22" hidden="1">
      <c r="B26" s="2301"/>
      <c r="C26" s="860" t="s">
        <v>2399</v>
      </c>
      <c r="D26" s="2072"/>
      <c r="E26" s="862" t="s">
        <v>462</v>
      </c>
      <c r="F26" s="2297">
        <f>メイン!N47</f>
        <v>0</v>
      </c>
      <c r="G26" s="2072"/>
      <c r="H26" s="2288">
        <f>IF(OR($F$20=$R$6,$F$20=$U$6),CO2データ!I242,IF($F$20=$S$6,CO2データ!L242,CO2データ!O242))</f>
        <v>60</v>
      </c>
      <c r="I26" s="2288">
        <f>IF(OR($F$20=$R$6,$F$20=$U$6),CO2データ!J242,IF($F$20=$S$6,CO2データ!M242,CO2データ!P242))</f>
        <v>60</v>
      </c>
      <c r="J26" s="2288">
        <f>IF(OR($F$20=$R$6,$F$20=$U$6),CO2データ!K242,IF($F$20=$S$6,CO2データ!N242,CO2データ!Q242))</f>
        <v>60</v>
      </c>
      <c r="K26" s="2307">
        <f t="shared" ref="K26:K34" si="3">K10</f>
        <v>3</v>
      </c>
      <c r="L26" s="2308">
        <f t="shared" ref="L26:L34" si="4">IF($F26=1,IF($K26&lt;4,$H26,IF($K26&lt;5,$I26,$J26)),0)</f>
        <v>0</v>
      </c>
      <c r="M26" s="2072"/>
      <c r="N26" s="2086">
        <v>3</v>
      </c>
      <c r="O26" s="2309">
        <f t="shared" ref="O26:O34" si="5">IF($F26=1,IF($N26&lt;4,$H26,IF($N26&lt;5,$I26,$J26)),0)</f>
        <v>0</v>
      </c>
      <c r="R26" s="2417" t="str">
        <f t="shared" ref="R26:R34" si="6">IF($F26&lt;&gt;1,"",$E26&amp;"部分"&amp;L26&amp;"年,")</f>
        <v/>
      </c>
      <c r="S26" s="2417"/>
      <c r="T26" s="2417"/>
      <c r="U26" s="2417" t="str">
        <f t="shared" ref="U26:U34" si="7">IF($F26&lt;&gt;1,"",$E26&amp;"部分"&amp;O26&amp;"年,")</f>
        <v/>
      </c>
    </row>
    <row r="27" spans="2:22" hidden="1">
      <c r="B27" s="2301"/>
      <c r="C27" s="860"/>
      <c r="D27" s="2072"/>
      <c r="E27" s="862" t="s">
        <v>464</v>
      </c>
      <c r="F27" s="2297">
        <f>メイン!N49</f>
        <v>0</v>
      </c>
      <c r="G27" s="2072"/>
      <c r="H27" s="2288">
        <f>IF(OR($F$20=$R$6,$F$20=$U$6),CO2データ!I243,IF($F$20=$S$6,CO2データ!L243,CO2データ!O243))</f>
        <v>60</v>
      </c>
      <c r="I27" s="2288">
        <f>IF(OR($F$20=$R$6,$F$20=$U$6),CO2データ!J243,IF($F$20=$S$6,CO2データ!M243,CO2データ!P243))</f>
        <v>60</v>
      </c>
      <c r="J27" s="2288">
        <f>IF(OR($F$20=$R$6,$F$20=$U$6),CO2データ!K243,IF($F$20=$S$6,CO2データ!N243,CO2データ!Q243))</f>
        <v>60</v>
      </c>
      <c r="K27" s="2307">
        <f t="shared" si="3"/>
        <v>3</v>
      </c>
      <c r="L27" s="2308">
        <f t="shared" si="4"/>
        <v>0</v>
      </c>
      <c r="M27" s="2072"/>
      <c r="N27" s="2086">
        <v>3</v>
      </c>
      <c r="O27" s="2309">
        <f t="shared" si="5"/>
        <v>0</v>
      </c>
      <c r="R27" s="2417" t="str">
        <f t="shared" si="6"/>
        <v/>
      </c>
      <c r="S27" s="2417"/>
      <c r="T27" s="2417"/>
      <c r="U27" s="2417" t="str">
        <f t="shared" si="7"/>
        <v/>
      </c>
    </row>
    <row r="28" spans="2:22" hidden="1">
      <c r="B28" s="2301"/>
      <c r="C28" s="860"/>
      <c r="D28" s="2072"/>
      <c r="E28" s="862" t="s">
        <v>466</v>
      </c>
      <c r="F28" s="2297">
        <f>メイン!N54</f>
        <v>0</v>
      </c>
      <c r="G28" s="2072"/>
      <c r="H28" s="2288">
        <f>IF(OR($F$20=$R$6,$F$20=$U$6),CO2データ!I244,IF($F$20=$S$6,CO2データ!L244,CO2データ!O244))</f>
        <v>30</v>
      </c>
      <c r="I28" s="2288">
        <f>IF(OR($F$20=$R$6,$F$20=$U$6),CO2データ!J244,IF($F$20=$S$6,CO2データ!M244,CO2データ!P244))</f>
        <v>30</v>
      </c>
      <c r="J28" s="2288">
        <f>IF(OR($F$20=$R$6,$F$20=$U$6),CO2データ!K244,IF($F$20=$S$6,CO2データ!N244,CO2データ!Q244))</f>
        <v>30</v>
      </c>
      <c r="K28" s="2307">
        <f t="shared" si="3"/>
        <v>3</v>
      </c>
      <c r="L28" s="2308">
        <f t="shared" si="4"/>
        <v>0</v>
      </c>
      <c r="M28" s="2072"/>
      <c r="N28" s="2086">
        <v>3</v>
      </c>
      <c r="O28" s="2309">
        <f t="shared" si="5"/>
        <v>0</v>
      </c>
      <c r="R28" s="2417" t="str">
        <f t="shared" si="6"/>
        <v/>
      </c>
      <c r="S28" s="2417"/>
      <c r="T28" s="2417"/>
      <c r="U28" s="2417" t="str">
        <f t="shared" si="7"/>
        <v/>
      </c>
    </row>
    <row r="29" spans="2:22" hidden="1">
      <c r="B29" s="2301"/>
      <c r="C29" s="860"/>
      <c r="D29" s="2072"/>
      <c r="E29" s="862" t="s">
        <v>468</v>
      </c>
      <c r="F29" s="2297">
        <f>メイン!N56</f>
        <v>0</v>
      </c>
      <c r="G29" s="2072"/>
      <c r="H29" s="2288">
        <f>IF(OR($F$20=$R$6,$F$20=$U$6),CO2データ!I245,IF($F$20=$S$6,CO2データ!L245,CO2データ!O245))</f>
        <v>30</v>
      </c>
      <c r="I29" s="2288">
        <f>IF(OR($F$20=$R$6,$F$20=$U$6),CO2データ!J245,IF($F$20=$S$6,CO2データ!M245,CO2データ!P245))</f>
        <v>30</v>
      </c>
      <c r="J29" s="2288">
        <f>IF(OR($F$20=$R$6,$F$20=$U$6),CO2データ!K245,IF($F$20=$S$6,CO2データ!N245,CO2データ!Q245))</f>
        <v>30</v>
      </c>
      <c r="K29" s="2307">
        <f t="shared" si="3"/>
        <v>3</v>
      </c>
      <c r="L29" s="2308">
        <f t="shared" si="4"/>
        <v>0</v>
      </c>
      <c r="M29" s="2072"/>
      <c r="N29" s="2086">
        <v>3</v>
      </c>
      <c r="O29" s="2309">
        <f t="shared" si="5"/>
        <v>0</v>
      </c>
      <c r="R29" s="2417" t="str">
        <f t="shared" si="6"/>
        <v/>
      </c>
      <c r="S29" s="2417"/>
      <c r="T29" s="2417"/>
      <c r="U29" s="2417" t="str">
        <f t="shared" si="7"/>
        <v/>
      </c>
    </row>
    <row r="30" spans="2:22" hidden="1">
      <c r="B30" s="2301"/>
      <c r="C30" s="860"/>
      <c r="D30" s="2072"/>
      <c r="E30" s="2077" t="s">
        <v>1973</v>
      </c>
      <c r="F30" s="2297">
        <f>メイン!N57</f>
        <v>0</v>
      </c>
      <c r="G30" s="2072"/>
      <c r="H30" s="2288">
        <f>IF(OR($F$20=$R$6,$F$20=$U$6),CO2データ!I246,IF($F$20=$S$6,CO2データ!L246,CO2データ!O246))</f>
        <v>60</v>
      </c>
      <c r="I30" s="2288">
        <f>IF(OR($F$20=$R$6,$F$20=$U$6),CO2データ!J246,IF($F$20=$S$6,CO2データ!M246,CO2データ!P246))</f>
        <v>60</v>
      </c>
      <c r="J30" s="2288">
        <f>IF(OR($F$20=$R$6,$F$20=$U$6),CO2データ!K246,IF($F$20=$S$6,CO2データ!N246,CO2データ!Q246))</f>
        <v>60</v>
      </c>
      <c r="K30" s="2307">
        <f t="shared" si="3"/>
        <v>3</v>
      </c>
      <c r="L30" s="2308">
        <f t="shared" si="4"/>
        <v>0</v>
      </c>
      <c r="M30" s="2072"/>
      <c r="N30" s="2086">
        <v>3</v>
      </c>
      <c r="O30" s="2309">
        <f t="shared" si="5"/>
        <v>0</v>
      </c>
      <c r="R30" s="2417" t="str">
        <f t="shared" si="6"/>
        <v/>
      </c>
      <c r="S30" s="2417"/>
      <c r="T30" s="2417"/>
      <c r="U30" s="2417" t="str">
        <f t="shared" si="7"/>
        <v/>
      </c>
    </row>
    <row r="31" spans="2:22" hidden="1">
      <c r="B31" s="2301"/>
      <c r="C31" s="860"/>
      <c r="D31" s="2072"/>
      <c r="E31" s="2077" t="s">
        <v>478</v>
      </c>
      <c r="F31" s="2297">
        <f>メイン!N60</f>
        <v>0</v>
      </c>
      <c r="G31" s="2072"/>
      <c r="H31" s="2288">
        <f>IF(OR($F$20=$R$6,$F$20=$U$6),CO2データ!I247,IF($F$20=$S$6,CO2データ!L247,CO2データ!O247))</f>
        <v>30</v>
      </c>
      <c r="I31" s="2288">
        <f>IF(OR($F$20=$R$6,$F$20=$U$6),CO2データ!J247,IF($F$20=$S$6,CO2データ!M247,CO2データ!P247))</f>
        <v>30</v>
      </c>
      <c r="J31" s="2288">
        <f>IF(OR($F$20=$R$6,$F$20=$U$6),CO2データ!K247,IF($F$20=$S$6,CO2データ!N247,CO2データ!Q247))</f>
        <v>30</v>
      </c>
      <c r="K31" s="2307">
        <f t="shared" si="3"/>
        <v>3</v>
      </c>
      <c r="L31" s="2308">
        <f t="shared" si="4"/>
        <v>0</v>
      </c>
      <c r="M31" s="2072"/>
      <c r="N31" s="2086">
        <v>3</v>
      </c>
      <c r="O31" s="2309">
        <f t="shared" si="5"/>
        <v>0</v>
      </c>
      <c r="R31" s="2417" t="str">
        <f t="shared" si="6"/>
        <v/>
      </c>
      <c r="S31" s="2417"/>
      <c r="T31" s="2417"/>
      <c r="U31" s="2417" t="str">
        <f t="shared" si="7"/>
        <v/>
      </c>
    </row>
    <row r="32" spans="2:22" hidden="1">
      <c r="B32" s="2301"/>
      <c r="C32" s="860"/>
      <c r="D32" s="2072"/>
      <c r="E32" s="2077" t="s">
        <v>472</v>
      </c>
      <c r="F32" s="2297">
        <f>メイン!N61</f>
        <v>0</v>
      </c>
      <c r="G32" s="2072"/>
      <c r="H32" s="2288">
        <f>IF(OR($F$20=$R$6,$F$20=$U$6),CO2データ!I248,IF($F$20=$S$6,CO2データ!L248,CO2データ!O248))</f>
        <v>60</v>
      </c>
      <c r="I32" s="2288">
        <f>IF(OR($F$20=$R$6,$F$20=$U$6),CO2データ!J248,IF($F$20=$S$6,CO2データ!M248,CO2データ!P248))</f>
        <v>60</v>
      </c>
      <c r="J32" s="2288">
        <f>IF(OR($F$20=$R$6,$F$20=$U$6),CO2データ!K248,IF($F$20=$S$6,CO2データ!N248,CO2データ!Q248))</f>
        <v>60</v>
      </c>
      <c r="K32" s="2307">
        <f t="shared" si="3"/>
        <v>3</v>
      </c>
      <c r="L32" s="2308">
        <f t="shared" si="4"/>
        <v>0</v>
      </c>
      <c r="M32" s="2072"/>
      <c r="N32" s="2086">
        <v>3</v>
      </c>
      <c r="O32" s="2309">
        <f t="shared" si="5"/>
        <v>0</v>
      </c>
      <c r="R32" s="2417" t="str">
        <f t="shared" si="6"/>
        <v/>
      </c>
      <c r="S32" s="2417"/>
      <c r="T32" s="2417"/>
      <c r="U32" s="2417" t="str">
        <f t="shared" si="7"/>
        <v/>
      </c>
    </row>
    <row r="33" spans="2:21" hidden="1">
      <c r="B33" s="2301"/>
      <c r="C33" s="860"/>
      <c r="D33" s="2072"/>
      <c r="E33" s="2077" t="s">
        <v>333</v>
      </c>
      <c r="F33" s="2297">
        <f>メイン!N62</f>
        <v>0</v>
      </c>
      <c r="G33" s="2072"/>
      <c r="H33" s="2288">
        <f>IF(OR($F$20=$R$6,$F$20=$U$6),CO2データ!I249,IF($F$20=$S$6,CO2データ!L249,CO2データ!O249))</f>
        <v>60</v>
      </c>
      <c r="I33" s="2288">
        <f>IF(OR($F$20=$R$6,$F$20=$U$6),CO2データ!J249,IF($F$20=$S$6,CO2データ!M249,CO2データ!P249))</f>
        <v>60</v>
      </c>
      <c r="J33" s="2288">
        <f>IF(OR($F$20=$R$6,$F$20=$U$6),CO2データ!K249,IF($F$20=$S$6,CO2データ!N249,CO2データ!Q249))</f>
        <v>60</v>
      </c>
      <c r="K33" s="2307">
        <f t="shared" si="3"/>
        <v>3</v>
      </c>
      <c r="L33" s="2308">
        <f t="shared" si="4"/>
        <v>0</v>
      </c>
      <c r="M33" s="2072"/>
      <c r="N33" s="2086">
        <v>3</v>
      </c>
      <c r="O33" s="2309">
        <f t="shared" si="5"/>
        <v>0</v>
      </c>
      <c r="R33" s="2417" t="str">
        <f t="shared" si="6"/>
        <v/>
      </c>
      <c r="S33" s="2417"/>
      <c r="T33" s="2417"/>
      <c r="U33" s="2417" t="str">
        <f t="shared" si="7"/>
        <v/>
      </c>
    </row>
    <row r="34" spans="2:21" hidden="1">
      <c r="B34" s="2301"/>
      <c r="C34" s="860"/>
      <c r="D34" s="2072"/>
      <c r="E34" s="2077" t="s">
        <v>476</v>
      </c>
      <c r="F34" s="2297">
        <f>メイン!N64</f>
        <v>0</v>
      </c>
      <c r="G34" s="2072"/>
      <c r="H34" s="2288">
        <f>IF(OR($F$20=$R$6,$F$20=$U$6),CO2データ!I250,IF($F$20=$S$6,CO2データ!L250,CO2データ!O250))</f>
        <v>30</v>
      </c>
      <c r="I34" s="2288">
        <f>IF(OR($F$20=$R$6,$F$20=$U$6),CO2データ!J250,IF($F$20=$S$6,CO2データ!M250,CO2データ!P250))</f>
        <v>60</v>
      </c>
      <c r="J34" s="2288">
        <f>IF(OR($F$20=$R$6,$F$20=$U$6),CO2データ!K250,IF($F$20=$S$6,CO2データ!N250,CO2データ!Q250))</f>
        <v>90</v>
      </c>
      <c r="K34" s="2307">
        <f t="shared" si="3"/>
        <v>3</v>
      </c>
      <c r="L34" s="2308">
        <f t="shared" si="4"/>
        <v>0</v>
      </c>
      <c r="M34" s="2072"/>
      <c r="N34" s="2086">
        <v>3</v>
      </c>
      <c r="O34" s="2309">
        <f t="shared" si="5"/>
        <v>0</v>
      </c>
      <c r="R34" s="2417" t="str">
        <f t="shared" si="6"/>
        <v/>
      </c>
      <c r="S34" s="2417"/>
      <c r="T34" s="2417"/>
      <c r="U34" s="2417" t="str">
        <f t="shared" si="7"/>
        <v/>
      </c>
    </row>
    <row r="35" spans="2:21" ht="13.5" hidden="1" thickBot="1">
      <c r="B35" s="2301"/>
      <c r="C35" s="860"/>
      <c r="D35" s="2072"/>
      <c r="E35" s="2077"/>
      <c r="F35" s="2077"/>
      <c r="G35" s="2077"/>
      <c r="H35" s="2077"/>
      <c r="I35" s="2077"/>
      <c r="J35" s="2077"/>
      <c r="K35" s="2077"/>
      <c r="L35" s="2310" t="str">
        <f>R26&amp;R27&amp;R28&amp;R29&amp;R30&amp;R31&amp;R32&amp;R33&amp;R34&amp;R35</f>
        <v/>
      </c>
      <c r="M35" s="2077"/>
      <c r="N35" s="2077"/>
      <c r="O35" s="2310" t="str">
        <f>U26&amp;U27&amp;U28&amp;U29&amp;U30&amp;U31&amp;U32&amp;U33&amp;U34&amp;U35</f>
        <v/>
      </c>
      <c r="R35" s="2417" t="str">
        <f>IF(SUM(F26:F34)&gt;1,"他","")</f>
        <v/>
      </c>
      <c r="S35" s="2417"/>
      <c r="T35" s="2417"/>
      <c r="U35" s="2417" t="str">
        <f>IF(SUM(F26:F34)&gt;1,"他","")</f>
        <v/>
      </c>
    </row>
    <row r="36" spans="2:21" hidden="1">
      <c r="B36" s="2301"/>
      <c r="C36" s="860"/>
      <c r="D36" s="2072"/>
      <c r="E36" s="2077"/>
      <c r="F36" s="2077"/>
      <c r="G36" s="2077"/>
      <c r="H36" s="2077"/>
      <c r="I36" s="2077"/>
      <c r="J36" s="2077"/>
      <c r="K36" s="2077"/>
      <c r="L36" s="2077"/>
      <c r="M36" s="2077"/>
      <c r="N36" s="2077"/>
      <c r="O36" s="2311"/>
      <c r="U36" s="2417"/>
    </row>
    <row r="37" spans="2:21" hidden="1">
      <c r="B37" s="2312"/>
      <c r="C37" s="2313" t="s">
        <v>2400</v>
      </c>
      <c r="D37" s="2313"/>
      <c r="E37" s="2074"/>
      <c r="F37" s="2074"/>
      <c r="G37" s="2074"/>
      <c r="H37" s="2314"/>
      <c r="I37" s="2315" t="s">
        <v>2401</v>
      </c>
      <c r="J37" s="2315" t="s">
        <v>2402</v>
      </c>
      <c r="K37" s="2316"/>
      <c r="L37" s="2316"/>
      <c r="M37" s="2316"/>
      <c r="N37" s="2316"/>
      <c r="O37" s="2317"/>
    </row>
    <row r="38" spans="2:21" hidden="1">
      <c r="B38" s="2312"/>
      <c r="C38" s="2074"/>
      <c r="D38" s="2074" t="s">
        <v>1794</v>
      </c>
      <c r="E38" s="2074"/>
      <c r="F38" s="2288">
        <f>F10</f>
        <v>0</v>
      </c>
      <c r="G38" s="2074"/>
      <c r="H38" s="2288">
        <f>IF(OR($F$20=$R$6,$F$20=$U$6),CO2データ!I253,IF($F$20=$S$6,CO2データ!L253,CO2データ!O253))</f>
        <v>0.69599999999999995</v>
      </c>
      <c r="I38" s="2288">
        <f>IF(OR($F$20=$R$6,$F$20=$U$6),CO2データ!J253,IF($F$20=$S$6,CO2データ!M253,CO2データ!P253))</f>
        <v>0</v>
      </c>
      <c r="J38" s="2288">
        <f>IF(OR($F$20=$R$6,$F$20=$U$6),CO2データ!K253,IF($F$20=$S$6,CO2データ!N253,CO2データ!Q253))</f>
        <v>0</v>
      </c>
      <c r="K38" s="2316"/>
      <c r="L38" s="2314">
        <f t="shared" ref="L38:L69" si="8">H38-(H38-I38)*$F$21-(H38-J38)*$F$22</f>
        <v>0.69599999999999995</v>
      </c>
      <c r="M38" s="2316"/>
      <c r="N38" s="2314"/>
      <c r="O38" s="2318">
        <f t="shared" ref="O38:O69" si="9">H38</f>
        <v>0.69599999999999995</v>
      </c>
      <c r="P38" t="s">
        <v>2404</v>
      </c>
    </row>
    <row r="39" spans="2:21" hidden="1">
      <c r="B39" s="2312"/>
      <c r="C39" s="2074"/>
      <c r="D39" s="2074"/>
      <c r="E39" s="2074"/>
      <c r="F39" s="2288">
        <f>$F$38</f>
        <v>0</v>
      </c>
      <c r="G39" s="2074"/>
      <c r="H39" s="2288">
        <f>IF(OR($F$20=$R$6,$F$20=$U$6),CO2データ!I254,IF($F$20=$S$6,CO2データ!L254,CO2データ!O254))</f>
        <v>0</v>
      </c>
      <c r="I39" s="2288">
        <f>IF(OR($F$20=$R$6,$F$20=$U$6),CO2データ!J254,IF($F$20=$S$6,CO2データ!M254,CO2データ!P254))</f>
        <v>0</v>
      </c>
      <c r="J39" s="2288">
        <f>IF(OR($F$20=$R$6,$F$20=$U$6),CO2データ!K254,IF($F$20=$S$6,CO2データ!N254,CO2データ!Q254))</f>
        <v>0.69599999999999995</v>
      </c>
      <c r="K39" s="2316"/>
      <c r="L39" s="2314">
        <f t="shared" si="8"/>
        <v>0</v>
      </c>
      <c r="M39" s="2316"/>
      <c r="N39" s="2314"/>
      <c r="O39" s="2318">
        <f t="shared" si="9"/>
        <v>0</v>
      </c>
      <c r="P39" t="s">
        <v>2404</v>
      </c>
    </row>
    <row r="40" spans="2:21" hidden="1">
      <c r="B40" s="2312"/>
      <c r="C40" s="2074"/>
      <c r="D40" s="2074"/>
      <c r="E40" s="2074"/>
      <c r="F40" s="2288">
        <f>$F$38</f>
        <v>0</v>
      </c>
      <c r="G40" s="2074"/>
      <c r="H40" s="2288">
        <f>IF(OR($F$20=$R$6,$F$20=$U$6),CO2データ!I255,IF($F$20=$S$6,CO2データ!L255,CO2データ!O255))</f>
        <v>0.1</v>
      </c>
      <c r="I40" s="2288">
        <f>IF(OR($F$20=$R$6,$F$20=$U$6),CO2データ!J255,IF($F$20=$S$6,CO2データ!M255,CO2データ!P255))</f>
        <v>0</v>
      </c>
      <c r="J40" s="2288">
        <f>IF(OR($F$20=$R$6,$F$20=$U$6),CO2データ!K255,IF($F$20=$S$6,CO2データ!N255,CO2データ!Q255))</f>
        <v>0.1</v>
      </c>
      <c r="K40" s="2316"/>
      <c r="L40" s="2314">
        <f t="shared" si="8"/>
        <v>0.1</v>
      </c>
      <c r="M40" s="2316"/>
      <c r="N40" s="2314"/>
      <c r="O40" s="2318">
        <f t="shared" si="9"/>
        <v>0.1</v>
      </c>
      <c r="P40" t="s">
        <v>2407</v>
      </c>
    </row>
    <row r="41" spans="2:21" hidden="1">
      <c r="B41" s="2312"/>
      <c r="C41" s="2074"/>
      <c r="D41" s="2074"/>
      <c r="E41" s="2074"/>
      <c r="F41" s="2288">
        <f>$F$38</f>
        <v>0</v>
      </c>
      <c r="G41" s="2074"/>
      <c r="H41" s="2288">
        <f>IF(OR($F$20=$R$6,$F$20=$U$6),CO2データ!I256,IF($F$20=$S$6,CO2データ!L256,CO2データ!O256))</f>
        <v>0</v>
      </c>
      <c r="I41" s="2288">
        <f>IF(OR($F$20=$R$6,$F$20=$U$6),CO2データ!J256,IF($F$20=$S$6,CO2データ!M256,CO2データ!P256))</f>
        <v>0</v>
      </c>
      <c r="J41" s="2288">
        <f>IF(OR($F$20=$R$6,$F$20=$U$6),CO2データ!K256,IF($F$20=$S$6,CO2データ!N256,CO2データ!Q256))</f>
        <v>0</v>
      </c>
      <c r="K41" s="2316"/>
      <c r="L41" s="2314">
        <f t="shared" si="8"/>
        <v>0</v>
      </c>
      <c r="M41" s="2316"/>
      <c r="N41" s="2314"/>
      <c r="O41" s="2318">
        <f t="shared" si="9"/>
        <v>0</v>
      </c>
      <c r="P41" t="s">
        <v>2407</v>
      </c>
    </row>
    <row r="42" spans="2:21" hidden="1">
      <c r="B42" s="2312"/>
      <c r="C42" s="2074"/>
      <c r="D42" s="2074"/>
      <c r="E42" s="2074"/>
      <c r="F42" s="2288">
        <f>$F$38</f>
        <v>0</v>
      </c>
      <c r="G42" s="2074"/>
      <c r="H42" s="2288">
        <f>IF(OR($F$20=$R$6,$F$20=$U$6),CO2データ!I257,IF($F$20=$S$6,CO2データ!L257,CO2データ!O257))</f>
        <v>7.8E-2</v>
      </c>
      <c r="I42" s="2288">
        <f>IF(OR($F$20=$R$6,$F$20=$U$6),CO2データ!J257,IF($F$20=$S$6,CO2データ!M257,CO2データ!P257))</f>
        <v>0</v>
      </c>
      <c r="J42" s="2288">
        <f>IF(OR($F$20=$R$6,$F$20=$U$6),CO2データ!K257,IF($F$20=$S$6,CO2データ!N257,CO2データ!Q257))</f>
        <v>7.8E-2</v>
      </c>
      <c r="K42" s="2316"/>
      <c r="L42" s="2314">
        <f t="shared" si="8"/>
        <v>7.8E-2</v>
      </c>
      <c r="M42" s="2316"/>
      <c r="N42" s="2314"/>
      <c r="O42" s="2318">
        <f t="shared" si="9"/>
        <v>7.8E-2</v>
      </c>
      <c r="P42" t="s">
        <v>2407</v>
      </c>
    </row>
    <row r="43" spans="2:21" hidden="1">
      <c r="B43" s="2312"/>
      <c r="C43" s="2074"/>
      <c r="D43" s="2074"/>
      <c r="E43" s="2074"/>
      <c r="F43" s="2288">
        <f>$F$38</f>
        <v>0</v>
      </c>
      <c r="G43" s="2074"/>
      <c r="H43" s="2288">
        <f>IF(OR($F$20=$R$6,$F$20=$U$6),CO2データ!I258,IF($F$20=$S$6,CO2データ!L258,CO2データ!O258))</f>
        <v>8.0000000000000002E-3</v>
      </c>
      <c r="I43" s="2288">
        <f>IF(OR($F$20=$R$6,$F$20=$U$6),CO2データ!J258,IF($F$20=$S$6,CO2データ!M258,CO2データ!P258))</f>
        <v>0</v>
      </c>
      <c r="J43" s="2288">
        <f>IF(OR($F$20=$R$6,$F$20=$U$6),CO2データ!K258,IF($F$20=$S$6,CO2データ!N258,CO2データ!Q258))</f>
        <v>8.0000000000000002E-3</v>
      </c>
      <c r="K43" s="2316"/>
      <c r="L43" s="2314">
        <f t="shared" si="8"/>
        <v>8.0000000000000002E-3</v>
      </c>
      <c r="M43" s="2316"/>
      <c r="N43" s="2314"/>
      <c r="O43" s="2318">
        <f t="shared" si="9"/>
        <v>8.0000000000000002E-3</v>
      </c>
      <c r="P43" t="s">
        <v>2407</v>
      </c>
    </row>
    <row r="44" spans="2:21" hidden="1">
      <c r="B44" s="2312"/>
      <c r="C44" s="2074"/>
      <c r="D44" s="2074" t="s">
        <v>1795</v>
      </c>
      <c r="E44" s="2074"/>
      <c r="F44" s="2288">
        <f>F11</f>
        <v>0</v>
      </c>
      <c r="G44" s="2074"/>
      <c r="H44" s="2288">
        <f>IF(OR($F$20=$R$6,$F$20=$U$6),CO2データ!I259,IF($F$20=$S$6,CO2データ!L259,CO2データ!O259))</f>
        <v>0.95799999999999996</v>
      </c>
      <c r="I44" s="2288">
        <f>IF(OR($F$20=$R$6,$F$20=$U$6),CO2データ!J259,IF($F$20=$S$6,CO2データ!M259,CO2データ!P259))</f>
        <v>0</v>
      </c>
      <c r="J44" s="2288">
        <f>IF(OR($F$20=$R$6,$F$20=$U$6),CO2データ!K259,IF($F$20=$S$6,CO2データ!N259,CO2データ!Q259))</f>
        <v>0</v>
      </c>
      <c r="K44" s="2316"/>
      <c r="L44" s="2314">
        <f t="shared" si="8"/>
        <v>0.95799999999999996</v>
      </c>
      <c r="M44" s="2316"/>
      <c r="N44" s="2314"/>
      <c r="O44" s="2318">
        <f t="shared" si="9"/>
        <v>0.95799999999999996</v>
      </c>
      <c r="P44" t="s">
        <v>2404</v>
      </c>
    </row>
    <row r="45" spans="2:21" hidden="1">
      <c r="B45" s="2312"/>
      <c r="C45" s="2074"/>
      <c r="D45" s="2074"/>
      <c r="E45" s="2074"/>
      <c r="F45" s="2288">
        <f>$F$44</f>
        <v>0</v>
      </c>
      <c r="G45" s="2074"/>
      <c r="H45" s="2288">
        <f>IF(OR($F$20=$R$6,$F$20=$U$6),CO2データ!I260,IF($F$20=$S$6,CO2データ!L260,CO2データ!O260))</f>
        <v>0</v>
      </c>
      <c r="I45" s="2288">
        <f>IF(OR($F$20=$R$6,$F$20=$U$6),CO2データ!J260,IF($F$20=$S$6,CO2データ!M260,CO2データ!P260))</f>
        <v>0</v>
      </c>
      <c r="J45" s="2288">
        <f>IF(OR($F$20=$R$6,$F$20=$U$6),CO2データ!K260,IF($F$20=$S$6,CO2データ!N260,CO2データ!Q260))</f>
        <v>0.95799999999999996</v>
      </c>
      <c r="K45" s="2316"/>
      <c r="L45" s="2314">
        <f t="shared" si="8"/>
        <v>0</v>
      </c>
      <c r="M45" s="2316"/>
      <c r="N45" s="2314"/>
      <c r="O45" s="2318">
        <f t="shared" si="9"/>
        <v>0</v>
      </c>
      <c r="P45" t="s">
        <v>2404</v>
      </c>
    </row>
    <row r="46" spans="2:21" hidden="1">
      <c r="B46" s="2312"/>
      <c r="C46" s="2074"/>
      <c r="D46" s="2074"/>
      <c r="E46" s="2074"/>
      <c r="F46" s="2288">
        <f>$F$44</f>
        <v>0</v>
      </c>
      <c r="G46" s="2074"/>
      <c r="H46" s="2288">
        <f>IF(OR($F$20=$R$6,$F$20=$U$6),CO2データ!I261,IF($F$20=$S$6,CO2データ!L261,CO2データ!O261))</f>
        <v>7.8E-2</v>
      </c>
      <c r="I46" s="2288">
        <f>IF(OR($F$20=$R$6,$F$20=$U$6),CO2データ!J261,IF($F$20=$S$6,CO2データ!M261,CO2データ!P261))</f>
        <v>0</v>
      </c>
      <c r="J46" s="2288">
        <f>IF(OR($F$20=$R$6,$F$20=$U$6),CO2データ!K261,IF($F$20=$S$6,CO2データ!N261,CO2データ!Q261))</f>
        <v>7.8E-2</v>
      </c>
      <c r="K46" s="2316"/>
      <c r="L46" s="2314">
        <f t="shared" si="8"/>
        <v>7.8E-2</v>
      </c>
      <c r="M46" s="2316"/>
      <c r="N46" s="2314"/>
      <c r="O46" s="2318">
        <f t="shared" si="9"/>
        <v>7.8E-2</v>
      </c>
      <c r="P46" t="s">
        <v>2407</v>
      </c>
    </row>
    <row r="47" spans="2:21" hidden="1">
      <c r="B47" s="2312"/>
      <c r="C47" s="2074"/>
      <c r="D47" s="2074"/>
      <c r="E47" s="2074"/>
      <c r="F47" s="2288">
        <f>$F$44</f>
        <v>0</v>
      </c>
      <c r="G47" s="2074"/>
      <c r="H47" s="2288">
        <f>IF(OR($F$20=$R$6,$F$20=$U$6),CO2データ!I262,IF($F$20=$S$6,CO2データ!L262,CO2データ!O262))</f>
        <v>0</v>
      </c>
      <c r="I47" s="2288">
        <f>IF(OR($F$20=$R$6,$F$20=$U$6),CO2データ!J262,IF($F$20=$S$6,CO2データ!M262,CO2データ!P262))</f>
        <v>0</v>
      </c>
      <c r="J47" s="2288">
        <f>IF(OR($F$20=$R$6,$F$20=$U$6),CO2データ!K262,IF($F$20=$S$6,CO2データ!N262,CO2データ!Q262))</f>
        <v>0</v>
      </c>
      <c r="K47" s="2316"/>
      <c r="L47" s="2314">
        <f t="shared" si="8"/>
        <v>0</v>
      </c>
      <c r="M47" s="2316"/>
      <c r="N47" s="2314"/>
      <c r="O47" s="2318">
        <f t="shared" si="9"/>
        <v>0</v>
      </c>
      <c r="P47" t="s">
        <v>2407</v>
      </c>
    </row>
    <row r="48" spans="2:21" hidden="1">
      <c r="B48" s="2312"/>
      <c r="C48" s="2074"/>
      <c r="D48" s="2074"/>
      <c r="E48" s="2074"/>
      <c r="F48" s="2288">
        <f>$F$44</f>
        <v>0</v>
      </c>
      <c r="G48" s="2074"/>
      <c r="H48" s="2288">
        <f>IF(OR($F$20=$R$6,$F$20=$U$6),CO2データ!I263,IF($F$20=$S$6,CO2データ!L263,CO2データ!O263))</f>
        <v>0.11</v>
      </c>
      <c r="I48" s="2288">
        <f>IF(OR($F$20=$R$6,$F$20=$U$6),CO2データ!J263,IF($F$20=$S$6,CO2データ!M263,CO2データ!P263))</f>
        <v>0</v>
      </c>
      <c r="J48" s="2288">
        <f>IF(OR($F$20=$R$6,$F$20=$U$6),CO2データ!K263,IF($F$20=$S$6,CO2データ!N263,CO2データ!Q263))</f>
        <v>0.11</v>
      </c>
      <c r="K48" s="2316"/>
      <c r="L48" s="2314">
        <f t="shared" si="8"/>
        <v>0.11</v>
      </c>
      <c r="M48" s="2316"/>
      <c r="N48" s="2314"/>
      <c r="O48" s="2318">
        <f t="shared" si="9"/>
        <v>0.11</v>
      </c>
      <c r="P48" t="s">
        <v>2407</v>
      </c>
    </row>
    <row r="49" spans="2:16" hidden="1">
      <c r="B49" s="2312"/>
      <c r="C49" s="2074"/>
      <c r="D49" s="2074"/>
      <c r="E49" s="2074"/>
      <c r="F49" s="2288">
        <f>$F$44</f>
        <v>0</v>
      </c>
      <c r="G49" s="2074"/>
      <c r="H49" s="2288">
        <f>IF(OR($F$20=$R$6,$F$20=$U$6),CO2データ!I264,IF($F$20=$S$6,CO2データ!L264,CO2データ!O264))</f>
        <v>1.2E-2</v>
      </c>
      <c r="I49" s="2288">
        <f>IF(OR($F$20=$R$6,$F$20=$U$6),CO2データ!J264,IF($F$20=$S$6,CO2データ!M264,CO2データ!P264))</f>
        <v>0</v>
      </c>
      <c r="J49" s="2288">
        <f>IF(OR($F$20=$R$6,$F$20=$U$6),CO2データ!K264,IF($F$20=$S$6,CO2データ!N264,CO2データ!Q264))</f>
        <v>1.167E-2</v>
      </c>
      <c r="K49" s="2316"/>
      <c r="L49" s="2314">
        <f t="shared" si="8"/>
        <v>1.2E-2</v>
      </c>
      <c r="M49" s="2316"/>
      <c r="N49" s="2314"/>
      <c r="O49" s="2318">
        <f t="shared" si="9"/>
        <v>1.2E-2</v>
      </c>
      <c r="P49" t="s">
        <v>2407</v>
      </c>
    </row>
    <row r="50" spans="2:16" hidden="1">
      <c r="B50" s="2312"/>
      <c r="C50" s="2074"/>
      <c r="D50" s="2074" t="s">
        <v>1970</v>
      </c>
      <c r="E50" s="2074"/>
      <c r="F50" s="2288">
        <f>F12</f>
        <v>0</v>
      </c>
      <c r="G50" s="2074"/>
      <c r="H50" s="2288">
        <f>IF(OR($F$20=$R$6,$F$20=$U$6),CO2データ!I265,IF($F$20=$S$6,CO2データ!L265,CO2データ!O265))</f>
        <v>0.307</v>
      </c>
      <c r="I50" s="2288">
        <f>IF(OR($F$20=$R$6,$F$20=$U$6),CO2データ!J265,IF($F$20=$S$6,CO2データ!M265,CO2データ!P265))</f>
        <v>0</v>
      </c>
      <c r="J50" s="2288">
        <f>IF(OR($F$20=$R$6,$F$20=$U$6),CO2データ!K265,IF($F$20=$S$6,CO2データ!N265,CO2データ!Q265))</f>
        <v>0</v>
      </c>
      <c r="K50" s="2316"/>
      <c r="L50" s="2314">
        <f t="shared" si="8"/>
        <v>0.307</v>
      </c>
      <c r="M50" s="2316"/>
      <c r="N50" s="2314"/>
      <c r="O50" s="2318">
        <f t="shared" si="9"/>
        <v>0.307</v>
      </c>
      <c r="P50" t="s">
        <v>1955</v>
      </c>
    </row>
    <row r="51" spans="2:16" hidden="1">
      <c r="B51" s="2312"/>
      <c r="C51" s="2074"/>
      <c r="D51" s="2074"/>
      <c r="E51" s="2074"/>
      <c r="F51" s="2288">
        <f>$F$50</f>
        <v>0</v>
      </c>
      <c r="G51" s="2074"/>
      <c r="H51" s="2288">
        <f>IF(OR($F$20=$R$6,$F$20=$U$6),CO2データ!I266,IF($F$20=$S$6,CO2データ!L266,CO2データ!O266))</f>
        <v>0</v>
      </c>
      <c r="I51" s="2288">
        <f>IF(OR($F$20=$R$6,$F$20=$U$6),CO2データ!J266,IF($F$20=$S$6,CO2データ!M266,CO2データ!P266))</f>
        <v>0</v>
      </c>
      <c r="J51" s="2288">
        <f>IF(OR($F$20=$R$6,$F$20=$U$6),CO2データ!K266,IF($F$20=$S$6,CO2データ!N266,CO2データ!Q266))</f>
        <v>0.307</v>
      </c>
      <c r="K51" s="2316"/>
      <c r="L51" s="2314">
        <f t="shared" si="8"/>
        <v>0</v>
      </c>
      <c r="M51" s="2316"/>
      <c r="N51" s="2314"/>
      <c r="O51" s="2318">
        <f t="shared" si="9"/>
        <v>0</v>
      </c>
      <c r="P51" t="s">
        <v>2404</v>
      </c>
    </row>
    <row r="52" spans="2:16" hidden="1">
      <c r="B52" s="2312"/>
      <c r="C52" s="2074"/>
      <c r="D52" s="2074"/>
      <c r="E52" s="2074"/>
      <c r="F52" s="2288">
        <f>$F$50</f>
        <v>0</v>
      </c>
      <c r="G52" s="2074"/>
      <c r="H52" s="2288">
        <f>IF(OR($F$20=$R$6,$F$20=$U$6),CO2データ!I267,IF($F$20=$S$6,CO2データ!L267,CO2データ!O267))</f>
        <v>7.0999999999999994E-2</v>
      </c>
      <c r="I52" s="2288">
        <f>IF(OR($F$20=$R$6,$F$20=$U$6),CO2データ!J267,IF($F$20=$S$6,CO2データ!M267,CO2データ!P267))</f>
        <v>0</v>
      </c>
      <c r="J52" s="2288">
        <f>IF(OR($F$20=$R$6,$F$20=$U$6),CO2データ!K267,IF($F$20=$S$6,CO2データ!N267,CO2データ!Q267))</f>
        <v>7.0999999999999994E-2</v>
      </c>
      <c r="K52" s="2316"/>
      <c r="L52" s="2314">
        <f t="shared" si="8"/>
        <v>7.0999999999999994E-2</v>
      </c>
      <c r="M52" s="2316"/>
      <c r="N52" s="2314"/>
      <c r="O52" s="2318">
        <f t="shared" si="9"/>
        <v>7.0999999999999994E-2</v>
      </c>
      <c r="P52" t="s">
        <v>2407</v>
      </c>
    </row>
    <row r="53" spans="2:16" hidden="1">
      <c r="B53" s="2312"/>
      <c r="C53" s="2074"/>
      <c r="D53" s="2074"/>
      <c r="E53" s="2074"/>
      <c r="F53" s="2288">
        <f>$F$50</f>
        <v>0</v>
      </c>
      <c r="G53" s="2074"/>
      <c r="H53" s="2288">
        <f>IF(OR($F$20=$R$6,$F$20=$U$6),CO2データ!I268,IF($F$20=$S$6,CO2データ!L268,CO2データ!O268))</f>
        <v>0</v>
      </c>
      <c r="I53" s="2288">
        <f>IF(OR($F$20=$R$6,$F$20=$U$6),CO2データ!J268,IF($F$20=$S$6,CO2データ!M268,CO2データ!P268))</f>
        <v>0</v>
      </c>
      <c r="J53" s="2288">
        <f>IF(OR($F$20=$R$6,$F$20=$U$6),CO2データ!K268,IF($F$20=$S$6,CO2データ!N268,CO2データ!Q268))</f>
        <v>0</v>
      </c>
      <c r="K53" s="2316"/>
      <c r="L53" s="2314">
        <f t="shared" si="8"/>
        <v>0</v>
      </c>
      <c r="M53" s="2316"/>
      <c r="N53" s="2314"/>
      <c r="O53" s="2318">
        <f t="shared" si="9"/>
        <v>0</v>
      </c>
      <c r="P53" t="s">
        <v>2407</v>
      </c>
    </row>
    <row r="54" spans="2:16" hidden="1">
      <c r="B54" s="2312"/>
      <c r="C54" s="2074"/>
      <c r="D54" s="2074"/>
      <c r="E54" s="2074"/>
      <c r="F54" s="2288">
        <f>$F$50</f>
        <v>0</v>
      </c>
      <c r="G54" s="2074"/>
      <c r="H54" s="2288">
        <f>IF(OR($F$20=$R$6,$F$20=$U$6),CO2データ!I269,IF($F$20=$S$6,CO2データ!L269,CO2データ!O269))</f>
        <v>5.2999999999999999E-2</v>
      </c>
      <c r="I54" s="2288">
        <f>IF(OR($F$20=$R$6,$F$20=$U$6),CO2データ!J269,IF($F$20=$S$6,CO2データ!M269,CO2データ!P269))</f>
        <v>0</v>
      </c>
      <c r="J54" s="2288">
        <f>IF(OR($F$20=$R$6,$F$20=$U$6),CO2データ!K269,IF($F$20=$S$6,CO2データ!N269,CO2データ!Q269))</f>
        <v>5.2999999999999999E-2</v>
      </c>
      <c r="K54" s="2316"/>
      <c r="L54" s="2314">
        <f t="shared" si="8"/>
        <v>5.2999999999999999E-2</v>
      </c>
      <c r="M54" s="2316"/>
      <c r="N54" s="2314"/>
      <c r="O54" s="2318">
        <f t="shared" si="9"/>
        <v>5.2999999999999999E-2</v>
      </c>
      <c r="P54" t="s">
        <v>2407</v>
      </c>
    </row>
    <row r="55" spans="2:16" hidden="1">
      <c r="B55" s="2312"/>
      <c r="C55" s="2074"/>
      <c r="D55" s="2074"/>
      <c r="E55" s="2074"/>
      <c r="F55" s="2288">
        <f>$F$50</f>
        <v>0</v>
      </c>
      <c r="G55" s="2074"/>
      <c r="H55" s="2288">
        <f>IF(OR($F$20=$R$6,$F$20=$U$6),CO2データ!I270,IF($F$20=$S$6,CO2データ!L270,CO2データ!O270))</f>
        <v>5.0000000000000001E-3</v>
      </c>
      <c r="I55" s="2288">
        <f>IF(OR($F$20=$R$6,$F$20=$U$6),CO2データ!J270,IF($F$20=$S$6,CO2データ!M270,CO2データ!P270))</f>
        <v>0</v>
      </c>
      <c r="J55" s="2288">
        <f>IF(OR($F$20=$R$6,$F$20=$U$6),CO2データ!K270,IF($F$20=$S$6,CO2データ!N270,CO2データ!Q270))</f>
        <v>4.8300000000000001E-3</v>
      </c>
      <c r="K55" s="2316"/>
      <c r="L55" s="2314">
        <f t="shared" si="8"/>
        <v>5.0000000000000001E-3</v>
      </c>
      <c r="M55" s="2316"/>
      <c r="N55" s="2314"/>
      <c r="O55" s="2318">
        <f t="shared" si="9"/>
        <v>5.0000000000000001E-3</v>
      </c>
      <c r="P55" t="s">
        <v>2407</v>
      </c>
    </row>
    <row r="56" spans="2:16" hidden="1">
      <c r="B56" s="2312"/>
      <c r="C56" s="2074"/>
      <c r="D56" s="2074" t="s">
        <v>2088</v>
      </c>
      <c r="E56" s="2074"/>
      <c r="F56" s="2288">
        <f>F13</f>
        <v>0</v>
      </c>
      <c r="G56" s="2074"/>
      <c r="H56" s="2288">
        <f>IF(OR($F$20=$R$6,$F$20=$U$6),CO2データ!I271,IF($F$20=$S$6,CO2データ!L271,CO2データ!O271))</f>
        <v>0.307</v>
      </c>
      <c r="I56" s="2288">
        <f>IF(OR($F$20=$R$6,$F$20=$U$6),CO2データ!J271,IF($F$20=$S$6,CO2データ!M271,CO2データ!P271))</f>
        <v>0</v>
      </c>
      <c r="J56" s="2288">
        <f>IF(OR($F$20=$R$6,$F$20=$U$6),CO2データ!K271,IF($F$20=$S$6,CO2データ!N271,CO2データ!Q271))</f>
        <v>0</v>
      </c>
      <c r="K56" s="2316"/>
      <c r="L56" s="2314">
        <f t="shared" si="8"/>
        <v>0.307</v>
      </c>
      <c r="M56" s="2316"/>
      <c r="N56" s="2314"/>
      <c r="O56" s="2318">
        <f t="shared" si="9"/>
        <v>0.307</v>
      </c>
      <c r="P56" t="s">
        <v>2404</v>
      </c>
    </row>
    <row r="57" spans="2:16" hidden="1">
      <c r="B57" s="2312"/>
      <c r="C57" s="2074"/>
      <c r="D57" s="2074"/>
      <c r="E57" s="2074"/>
      <c r="F57" s="2288">
        <f>$F$56</f>
        <v>0</v>
      </c>
      <c r="G57" s="2074"/>
      <c r="H57" s="2288">
        <f>IF(OR($F$20=$R$6,$F$20=$U$6),CO2データ!I272,IF($F$20=$S$6,CO2データ!L272,CO2データ!O272))</f>
        <v>0</v>
      </c>
      <c r="I57" s="2288">
        <f>IF(OR($F$20=$R$6,$F$20=$U$6),CO2データ!J272,IF($F$20=$S$6,CO2データ!M272,CO2データ!P272))</f>
        <v>0</v>
      </c>
      <c r="J57" s="2288">
        <f>IF(OR($F$20=$R$6,$F$20=$U$6),CO2データ!K272,IF($F$20=$S$6,CO2データ!N272,CO2データ!Q272))</f>
        <v>0.307</v>
      </c>
      <c r="K57" s="2316"/>
      <c r="L57" s="2314">
        <f t="shared" si="8"/>
        <v>0</v>
      </c>
      <c r="M57" s="2316"/>
      <c r="N57" s="2314"/>
      <c r="O57" s="2318">
        <f t="shared" si="9"/>
        <v>0</v>
      </c>
      <c r="P57" t="s">
        <v>2404</v>
      </c>
    </row>
    <row r="58" spans="2:16" hidden="1">
      <c r="B58" s="2312"/>
      <c r="C58" s="2074"/>
      <c r="D58" s="2074"/>
      <c r="E58" s="2074"/>
      <c r="F58" s="2288">
        <f>$F$56</f>
        <v>0</v>
      </c>
      <c r="G58" s="2074"/>
      <c r="H58" s="2288">
        <f>IF(OR($F$20=$R$6,$F$20=$U$6),CO2データ!I273,IF($F$20=$S$6,CO2データ!L273,CO2データ!O273))</f>
        <v>7.0999999999999994E-2</v>
      </c>
      <c r="I58" s="2288">
        <f>IF(OR($F$20=$R$6,$F$20=$U$6),CO2データ!J273,IF($F$20=$S$6,CO2データ!M273,CO2データ!P273))</f>
        <v>0</v>
      </c>
      <c r="J58" s="2288">
        <f>IF(OR($F$20=$R$6,$F$20=$U$6),CO2データ!K273,IF($F$20=$S$6,CO2データ!N273,CO2データ!Q273))</f>
        <v>7.0999999999999994E-2</v>
      </c>
      <c r="K58" s="2316"/>
      <c r="L58" s="2314">
        <f t="shared" si="8"/>
        <v>7.0999999999999994E-2</v>
      </c>
      <c r="M58" s="2316"/>
      <c r="N58" s="2314"/>
      <c r="O58" s="2318">
        <f t="shared" si="9"/>
        <v>7.0999999999999994E-2</v>
      </c>
      <c r="P58" t="s">
        <v>2407</v>
      </c>
    </row>
    <row r="59" spans="2:16" hidden="1">
      <c r="B59" s="2312"/>
      <c r="C59" s="2074"/>
      <c r="D59" s="2074"/>
      <c r="E59" s="2074"/>
      <c r="F59" s="2288">
        <f>$F$56</f>
        <v>0</v>
      </c>
      <c r="G59" s="2074"/>
      <c r="H59" s="2288">
        <f>IF(OR($F$20=$R$6,$F$20=$U$6),CO2データ!I274,IF($F$20=$S$6,CO2データ!L274,CO2データ!O274))</f>
        <v>0</v>
      </c>
      <c r="I59" s="2288">
        <f>IF(OR($F$20=$R$6,$F$20=$U$6),CO2データ!J274,IF($F$20=$S$6,CO2データ!M274,CO2データ!P274))</f>
        <v>0</v>
      </c>
      <c r="J59" s="2288">
        <f>IF(OR($F$20=$R$6,$F$20=$U$6),CO2データ!K274,IF($F$20=$S$6,CO2データ!N274,CO2データ!Q274))</f>
        <v>0</v>
      </c>
      <c r="K59" s="2316"/>
      <c r="L59" s="2314">
        <f t="shared" si="8"/>
        <v>0</v>
      </c>
      <c r="M59" s="2316"/>
      <c r="N59" s="2314"/>
      <c r="O59" s="2318">
        <f t="shared" si="9"/>
        <v>0</v>
      </c>
      <c r="P59" t="s">
        <v>2407</v>
      </c>
    </row>
    <row r="60" spans="2:16" hidden="1">
      <c r="B60" s="2312"/>
      <c r="C60" s="2074"/>
      <c r="D60" s="2074"/>
      <c r="E60" s="2074"/>
      <c r="F60" s="2288">
        <f>$F$56</f>
        <v>0</v>
      </c>
      <c r="G60" s="2074"/>
      <c r="H60" s="2288">
        <f>IF(OR($F$20=$R$6,$F$20=$U$6),CO2データ!I275,IF($F$20=$S$6,CO2データ!L275,CO2データ!O275))</f>
        <v>5.2999999999999999E-2</v>
      </c>
      <c r="I60" s="2288">
        <f>IF(OR($F$20=$R$6,$F$20=$U$6),CO2データ!J275,IF($F$20=$S$6,CO2データ!M275,CO2データ!P275))</f>
        <v>0</v>
      </c>
      <c r="J60" s="2288">
        <f>IF(OR($F$20=$R$6,$F$20=$U$6),CO2データ!K275,IF($F$20=$S$6,CO2データ!N275,CO2データ!Q275))</f>
        <v>5.2999999999999999E-2</v>
      </c>
      <c r="K60" s="2316"/>
      <c r="L60" s="2314">
        <f t="shared" si="8"/>
        <v>5.2999999999999999E-2</v>
      </c>
      <c r="M60" s="2316"/>
      <c r="N60" s="2314"/>
      <c r="O60" s="2318">
        <f t="shared" si="9"/>
        <v>5.2999999999999999E-2</v>
      </c>
      <c r="P60" t="s">
        <v>2407</v>
      </c>
    </row>
    <row r="61" spans="2:16" hidden="1">
      <c r="B61" s="2312"/>
      <c r="C61" s="2074"/>
      <c r="D61" s="2074"/>
      <c r="E61" s="2074"/>
      <c r="F61" s="2288">
        <f>$F$56</f>
        <v>0</v>
      </c>
      <c r="G61" s="2074"/>
      <c r="H61" s="2288">
        <f>IF(OR($F$20=$R$6,$F$20=$U$6),CO2データ!I276,IF($F$20=$S$6,CO2データ!L276,CO2データ!O276))</f>
        <v>5.0000000000000001E-3</v>
      </c>
      <c r="I61" s="2288">
        <f>IF(OR($F$20=$R$6,$F$20=$U$6),CO2データ!J276,IF($F$20=$S$6,CO2データ!M276,CO2データ!P276))</f>
        <v>0</v>
      </c>
      <c r="J61" s="2288">
        <f>IF(OR($F$20=$R$6,$F$20=$U$6),CO2データ!K276,IF($F$20=$S$6,CO2データ!N276,CO2データ!Q276))</f>
        <v>4.8300000000000001E-3</v>
      </c>
      <c r="K61" s="2316"/>
      <c r="L61" s="2314">
        <f t="shared" si="8"/>
        <v>5.0000000000000001E-3</v>
      </c>
      <c r="M61" s="2316"/>
      <c r="N61" s="2314"/>
      <c r="O61" s="2318">
        <f t="shared" si="9"/>
        <v>5.0000000000000001E-3</v>
      </c>
      <c r="P61" t="s">
        <v>2407</v>
      </c>
    </row>
    <row r="62" spans="2:16" hidden="1">
      <c r="B62" s="2312"/>
      <c r="C62" s="2074"/>
      <c r="D62" s="2074" t="s">
        <v>1972</v>
      </c>
      <c r="E62" s="2074"/>
      <c r="F62" s="2288">
        <f>F14</f>
        <v>0</v>
      </c>
      <c r="G62" s="2074"/>
      <c r="H62" s="2288">
        <f>IF(OR($F$20=$R$6,$F$20=$U$6),CO2データ!I277,IF($F$20=$S$6,CO2データ!L277,CO2データ!O277))</f>
        <v>0.86199999999999999</v>
      </c>
      <c r="I62" s="2288">
        <f>IF(OR($F$20=$R$6,$F$20=$U$6),CO2データ!J277,IF($F$20=$S$6,CO2データ!M277,CO2データ!P277))</f>
        <v>0</v>
      </c>
      <c r="J62" s="2288">
        <f>IF(OR($F$20=$R$6,$F$20=$U$6),CO2データ!K277,IF($F$20=$S$6,CO2データ!N277,CO2データ!Q277))</f>
        <v>0</v>
      </c>
      <c r="K62" s="2316"/>
      <c r="L62" s="2314">
        <f t="shared" si="8"/>
        <v>0.86199999999999999</v>
      </c>
      <c r="M62" s="2316"/>
      <c r="N62" s="2314"/>
      <c r="O62" s="2318">
        <f t="shared" si="9"/>
        <v>0.86199999999999999</v>
      </c>
      <c r="P62" t="s">
        <v>2404</v>
      </c>
    </row>
    <row r="63" spans="2:16" hidden="1">
      <c r="B63" s="2312"/>
      <c r="C63" s="2074"/>
      <c r="D63" s="2074"/>
      <c r="E63" s="2074"/>
      <c r="F63" s="2288">
        <f>$F$62</f>
        <v>0</v>
      </c>
      <c r="G63" s="2074"/>
      <c r="H63" s="2288">
        <f>IF(OR($F$20=$R$6,$F$20=$U$6),CO2データ!I278,IF($F$20=$S$6,CO2データ!L278,CO2データ!O278))</f>
        <v>0</v>
      </c>
      <c r="I63" s="2288">
        <f>IF(OR($F$20=$R$6,$F$20=$U$6),CO2データ!J278,IF($F$20=$S$6,CO2データ!M278,CO2データ!P278))</f>
        <v>0</v>
      </c>
      <c r="J63" s="2288">
        <f>IF(OR($F$20=$R$6,$F$20=$U$6),CO2データ!K278,IF($F$20=$S$6,CO2データ!N278,CO2データ!Q278))</f>
        <v>0.86199999999999999</v>
      </c>
      <c r="K63" s="2316"/>
      <c r="L63" s="2314">
        <f t="shared" si="8"/>
        <v>0</v>
      </c>
      <c r="M63" s="2316"/>
      <c r="N63" s="2314"/>
      <c r="O63" s="2318">
        <f t="shared" si="9"/>
        <v>0</v>
      </c>
      <c r="P63" t="s">
        <v>2404</v>
      </c>
    </row>
    <row r="64" spans="2:16" hidden="1">
      <c r="B64" s="2312"/>
      <c r="C64" s="2074"/>
      <c r="D64" s="2074"/>
      <c r="E64" s="2074"/>
      <c r="F64" s="2288">
        <f>$F$62</f>
        <v>0</v>
      </c>
      <c r="G64" s="2074"/>
      <c r="H64" s="2288">
        <f>IF(OR($F$20=$R$6,$F$20=$U$6),CO2データ!I279,IF($F$20=$S$6,CO2データ!L279,CO2データ!O279))</f>
        <v>5.8999999999999997E-2</v>
      </c>
      <c r="I64" s="2288">
        <f>IF(OR($F$20=$R$6,$F$20=$U$6),CO2データ!J279,IF($F$20=$S$6,CO2データ!M279,CO2データ!P279))</f>
        <v>0</v>
      </c>
      <c r="J64" s="2288">
        <f>IF(OR($F$20=$R$6,$F$20=$U$6),CO2データ!K279,IF($F$20=$S$6,CO2データ!N279,CO2データ!Q279))</f>
        <v>5.8999999999999997E-2</v>
      </c>
      <c r="K64" s="2316"/>
      <c r="L64" s="2314">
        <f t="shared" si="8"/>
        <v>5.8999999999999997E-2</v>
      </c>
      <c r="M64" s="2316"/>
      <c r="N64" s="2314"/>
      <c r="O64" s="2318">
        <f t="shared" si="9"/>
        <v>5.8999999999999997E-2</v>
      </c>
      <c r="P64" t="s">
        <v>2407</v>
      </c>
    </row>
    <row r="65" spans="2:16" hidden="1">
      <c r="B65" s="2312"/>
      <c r="C65" s="2074"/>
      <c r="D65" s="2074"/>
      <c r="E65" s="2074"/>
      <c r="F65" s="2288">
        <f>$F$62</f>
        <v>0</v>
      </c>
      <c r="G65" s="2074"/>
      <c r="H65" s="2288">
        <f>IF(OR($F$20=$R$6,$F$20=$U$6),CO2データ!I280,IF($F$20=$S$6,CO2データ!L280,CO2データ!O280))</f>
        <v>0</v>
      </c>
      <c r="I65" s="2288">
        <f>IF(OR($F$20=$R$6,$F$20=$U$6),CO2データ!J280,IF($F$20=$S$6,CO2データ!M280,CO2データ!P280))</f>
        <v>0</v>
      </c>
      <c r="J65" s="2288">
        <f>IF(OR($F$20=$R$6,$F$20=$U$6),CO2データ!K280,IF($F$20=$S$6,CO2データ!N280,CO2データ!Q280))</f>
        <v>0</v>
      </c>
      <c r="K65" s="2316"/>
      <c r="L65" s="2314">
        <f t="shared" si="8"/>
        <v>0</v>
      </c>
      <c r="M65" s="2316"/>
      <c r="N65" s="2314"/>
      <c r="O65" s="2318">
        <f t="shared" si="9"/>
        <v>0</v>
      </c>
      <c r="P65" t="s">
        <v>2407</v>
      </c>
    </row>
    <row r="66" spans="2:16" hidden="1">
      <c r="B66" s="2312"/>
      <c r="C66" s="2074"/>
      <c r="D66" s="2074"/>
      <c r="E66" s="2074"/>
      <c r="F66" s="2288">
        <f>$F$62</f>
        <v>0</v>
      </c>
      <c r="G66" s="2074"/>
      <c r="H66" s="2288">
        <f>IF(OR($F$20=$R$6,$F$20=$U$6),CO2データ!I281,IF($F$20=$S$6,CO2データ!L281,CO2データ!O281))</f>
        <v>0.1</v>
      </c>
      <c r="I66" s="2288">
        <f>IF(OR($F$20=$R$6,$F$20=$U$6),CO2データ!J281,IF($F$20=$S$6,CO2データ!M281,CO2データ!P281))</f>
        <v>0</v>
      </c>
      <c r="J66" s="2288">
        <f>IF(OR($F$20=$R$6,$F$20=$U$6),CO2データ!K281,IF($F$20=$S$6,CO2データ!N281,CO2データ!Q281))</f>
        <v>0.1</v>
      </c>
      <c r="K66" s="2316"/>
      <c r="L66" s="2314">
        <f t="shared" si="8"/>
        <v>0.1</v>
      </c>
      <c r="M66" s="2316"/>
      <c r="N66" s="2314"/>
      <c r="O66" s="2318">
        <f t="shared" si="9"/>
        <v>0.1</v>
      </c>
      <c r="P66" t="s">
        <v>2407</v>
      </c>
    </row>
    <row r="67" spans="2:16" hidden="1">
      <c r="B67" s="2312"/>
      <c r="C67" s="2074"/>
      <c r="D67" s="2074"/>
      <c r="E67" s="2074"/>
      <c r="F67" s="2288">
        <f>$F$62</f>
        <v>0</v>
      </c>
      <c r="G67" s="2074"/>
      <c r="H67" s="2288">
        <f>IF(OR($F$20=$R$6,$F$20=$U$6),CO2データ!I282,IF($F$20=$S$6,CO2データ!L282,CO2データ!O282))</f>
        <v>1.2E-2</v>
      </c>
      <c r="I67" s="2288">
        <f>IF(OR($F$20=$R$6,$F$20=$U$6),CO2データ!J282,IF($F$20=$S$6,CO2データ!M282,CO2データ!P282))</f>
        <v>0</v>
      </c>
      <c r="J67" s="2288">
        <f>IF(OR($F$20=$R$6,$F$20=$U$6),CO2データ!K282,IF($F$20=$S$6,CO2データ!N282,CO2データ!Q282))</f>
        <v>1.227E-2</v>
      </c>
      <c r="K67" s="2316"/>
      <c r="L67" s="2314">
        <f t="shared" si="8"/>
        <v>1.2E-2</v>
      </c>
      <c r="M67" s="2316"/>
      <c r="N67" s="2314"/>
      <c r="O67" s="2318">
        <f t="shared" si="9"/>
        <v>1.2E-2</v>
      </c>
      <c r="P67" t="s">
        <v>2407</v>
      </c>
    </row>
    <row r="68" spans="2:16" hidden="1">
      <c r="B68" s="2312"/>
      <c r="C68" s="2074"/>
      <c r="D68" s="2074" t="s">
        <v>478</v>
      </c>
      <c r="E68" s="2074"/>
      <c r="F68" s="2288">
        <f>F15</f>
        <v>0</v>
      </c>
      <c r="G68" s="2074"/>
      <c r="H68" s="2288">
        <f>IF(OR($F$20=$R$6,$F$20=$U$6),CO2データ!I283,IF($F$20=$S$6,CO2データ!L283,CO2データ!O283))</f>
        <v>0.66900000000000004</v>
      </c>
      <c r="I68" s="2288">
        <f>IF(OR($F$20=$R$6,$F$20=$U$6),CO2データ!J283,IF($F$20=$S$6,CO2データ!M283,CO2データ!P283))</f>
        <v>0</v>
      </c>
      <c r="J68" s="2288">
        <f>IF(OR($F$20=$R$6,$F$20=$U$6),CO2データ!K283,IF($F$20=$S$6,CO2データ!N283,CO2データ!Q283))</f>
        <v>0</v>
      </c>
      <c r="K68" s="2316"/>
      <c r="L68" s="2314">
        <f t="shared" si="8"/>
        <v>0.66900000000000004</v>
      </c>
      <c r="M68" s="2316"/>
      <c r="N68" s="2314"/>
      <c r="O68" s="2318">
        <f t="shared" si="9"/>
        <v>0.66900000000000004</v>
      </c>
      <c r="P68" t="s">
        <v>2404</v>
      </c>
    </row>
    <row r="69" spans="2:16" hidden="1">
      <c r="B69" s="2312"/>
      <c r="C69" s="2074"/>
      <c r="D69" s="2074"/>
      <c r="E69" s="2074"/>
      <c r="F69" s="2288">
        <f>$F$68</f>
        <v>0</v>
      </c>
      <c r="G69" s="2074"/>
      <c r="H69" s="2288">
        <f>IF(OR($F$20=$R$6,$F$20=$U$6),CO2データ!I284,IF($F$20=$S$6,CO2データ!L284,CO2データ!O284))</f>
        <v>0</v>
      </c>
      <c r="I69" s="2288">
        <f>IF(OR($F$20=$R$6,$F$20=$U$6),CO2データ!J284,IF($F$20=$S$6,CO2データ!M284,CO2データ!P284))</f>
        <v>0</v>
      </c>
      <c r="J69" s="2288">
        <f>IF(OR($F$20=$R$6,$F$20=$U$6),CO2データ!K284,IF($F$20=$S$6,CO2データ!N284,CO2データ!Q284))</f>
        <v>0.66900000000000004</v>
      </c>
      <c r="K69" s="2316"/>
      <c r="L69" s="2314">
        <f t="shared" si="8"/>
        <v>0</v>
      </c>
      <c r="M69" s="2316"/>
      <c r="N69" s="2314"/>
      <c r="O69" s="2318">
        <f t="shared" si="9"/>
        <v>0</v>
      </c>
      <c r="P69" t="s">
        <v>2404</v>
      </c>
    </row>
    <row r="70" spans="2:16" hidden="1">
      <c r="B70" s="2312"/>
      <c r="C70" s="2074"/>
      <c r="D70" s="2074"/>
      <c r="E70" s="2074"/>
      <c r="F70" s="2288">
        <f>$F$68</f>
        <v>0</v>
      </c>
      <c r="G70" s="2074"/>
      <c r="H70" s="2288">
        <f>IF(OR($F$20=$R$6,$F$20=$U$6),CO2データ!I285,IF($F$20=$S$6,CO2データ!L285,CO2データ!O285))</f>
        <v>7.6999999999999999E-2</v>
      </c>
      <c r="I70" s="2288">
        <f>IF(OR($F$20=$R$6,$F$20=$U$6),CO2データ!J285,IF($F$20=$S$6,CO2データ!M285,CO2データ!P285))</f>
        <v>0</v>
      </c>
      <c r="J70" s="2288">
        <f>IF(OR($F$20=$R$6,$F$20=$U$6),CO2データ!K285,IF($F$20=$S$6,CO2データ!N285,CO2データ!Q285))</f>
        <v>7.6999999999999999E-2</v>
      </c>
      <c r="K70" s="2316"/>
      <c r="L70" s="2314">
        <f t="shared" ref="L70:L91" si="10">H70-(H70-I70)*$F$21-(H70-J70)*$F$22</f>
        <v>7.6999999999999999E-2</v>
      </c>
      <c r="M70" s="2316"/>
      <c r="N70" s="2314"/>
      <c r="O70" s="2318">
        <f t="shared" ref="O70:O91" si="11">H70</f>
        <v>7.6999999999999999E-2</v>
      </c>
      <c r="P70" t="s">
        <v>2407</v>
      </c>
    </row>
    <row r="71" spans="2:16" hidden="1">
      <c r="B71" s="2312"/>
      <c r="C71" s="2074"/>
      <c r="D71" s="2074"/>
      <c r="E71" s="2074"/>
      <c r="F71" s="2288">
        <f>$F$68</f>
        <v>0</v>
      </c>
      <c r="G71" s="2074"/>
      <c r="H71" s="2288">
        <f>IF(OR($F$20=$R$6,$F$20=$U$6),CO2データ!I286,IF($F$20=$S$6,CO2データ!L286,CO2データ!O286))</f>
        <v>0</v>
      </c>
      <c r="I71" s="2288">
        <f>IF(OR($F$20=$R$6,$F$20=$U$6),CO2データ!J286,IF($F$20=$S$6,CO2データ!M286,CO2データ!P286))</f>
        <v>0</v>
      </c>
      <c r="J71" s="2288">
        <f>IF(OR($F$20=$R$6,$F$20=$U$6),CO2データ!K286,IF($F$20=$S$6,CO2データ!N286,CO2データ!Q286))</f>
        <v>0</v>
      </c>
      <c r="K71" s="2316"/>
      <c r="L71" s="2314">
        <f t="shared" si="10"/>
        <v>0</v>
      </c>
      <c r="M71" s="2316"/>
      <c r="N71" s="2314"/>
      <c r="O71" s="2318">
        <f t="shared" si="11"/>
        <v>0</v>
      </c>
      <c r="P71" t="s">
        <v>2407</v>
      </c>
    </row>
    <row r="72" spans="2:16" hidden="1">
      <c r="B72" s="2312"/>
      <c r="C72" s="2074"/>
      <c r="D72" s="2074"/>
      <c r="E72" s="2074"/>
      <c r="F72" s="2288">
        <f>$F$68</f>
        <v>0</v>
      </c>
      <c r="G72" s="2074"/>
      <c r="H72" s="2288">
        <f>IF(OR($F$20=$R$6,$F$20=$U$6),CO2データ!I287,IF($F$20=$S$6,CO2データ!L287,CO2データ!O287))</f>
        <v>0.08</v>
      </c>
      <c r="I72" s="2288">
        <f>IF(OR($F$20=$R$6,$F$20=$U$6),CO2データ!J287,IF($F$20=$S$6,CO2データ!M287,CO2データ!P287))</f>
        <v>0</v>
      </c>
      <c r="J72" s="2288">
        <f>IF(OR($F$20=$R$6,$F$20=$U$6),CO2データ!K287,IF($F$20=$S$6,CO2データ!N287,CO2データ!Q287))</f>
        <v>0.08</v>
      </c>
      <c r="K72" s="2316"/>
      <c r="L72" s="2314">
        <f t="shared" si="10"/>
        <v>0.08</v>
      </c>
      <c r="M72" s="2316"/>
      <c r="N72" s="2314"/>
      <c r="O72" s="2318">
        <f t="shared" si="11"/>
        <v>0.08</v>
      </c>
      <c r="P72" t="s">
        <v>2407</v>
      </c>
    </row>
    <row r="73" spans="2:16" hidden="1">
      <c r="B73" s="2312"/>
      <c r="C73" s="2074"/>
      <c r="D73" s="2074"/>
      <c r="E73" s="2074"/>
      <c r="F73" s="2288">
        <f>$F$68</f>
        <v>0</v>
      </c>
      <c r="G73" s="2074"/>
      <c r="H73" s="2288">
        <f>IF(OR($F$20=$R$6,$F$20=$U$6),CO2データ!I288,IF($F$20=$S$6,CO2データ!L288,CO2データ!O288))</f>
        <v>7.0000000000000001E-3</v>
      </c>
      <c r="I73" s="2288">
        <f>IF(OR($F$20=$R$6,$F$20=$U$6),CO2データ!J288,IF($F$20=$S$6,CO2データ!M288,CO2データ!P288))</f>
        <v>0</v>
      </c>
      <c r="J73" s="2288">
        <f>IF(OR($F$20=$R$6,$F$20=$U$6),CO2データ!K288,IF($F$20=$S$6,CO2データ!N288,CO2データ!Q288))</f>
        <v>6.6899999999999998E-3</v>
      </c>
      <c r="K73" s="2316"/>
      <c r="L73" s="2314">
        <f t="shared" si="10"/>
        <v>7.0000000000000001E-3</v>
      </c>
      <c r="M73" s="2316"/>
      <c r="N73" s="2314"/>
      <c r="O73" s="2318">
        <f t="shared" si="11"/>
        <v>7.0000000000000001E-3</v>
      </c>
      <c r="P73" t="s">
        <v>2407</v>
      </c>
    </row>
    <row r="74" spans="2:16" hidden="1">
      <c r="B74" s="2312"/>
      <c r="C74" s="2074"/>
      <c r="D74" s="2074" t="s">
        <v>1974</v>
      </c>
      <c r="E74" s="2074"/>
      <c r="F74" s="2288">
        <f>F16</f>
        <v>0</v>
      </c>
      <c r="G74" s="2074"/>
      <c r="H74" s="2288">
        <f>IF(OR($F$20=$R$6,$F$20=$U$6),CO2データ!I289,IF($F$20=$S$6,CO2データ!L289,CO2データ!O289))</f>
        <v>0.81200000000000006</v>
      </c>
      <c r="I74" s="2288">
        <f>IF(OR($F$20=$R$6,$F$20=$U$6),CO2データ!J289,IF($F$20=$S$6,CO2データ!M289,CO2データ!P289))</f>
        <v>0</v>
      </c>
      <c r="J74" s="2288">
        <f>IF(OR($F$20=$R$6,$F$20=$U$6),CO2データ!K289,IF($F$20=$S$6,CO2データ!N289,CO2データ!Q289))</f>
        <v>0</v>
      </c>
      <c r="K74" s="2316"/>
      <c r="L74" s="2314">
        <f t="shared" si="10"/>
        <v>0.81200000000000006</v>
      </c>
      <c r="M74" s="2316"/>
      <c r="N74" s="2314"/>
      <c r="O74" s="2318">
        <f t="shared" si="11"/>
        <v>0.81200000000000006</v>
      </c>
      <c r="P74" t="s">
        <v>2404</v>
      </c>
    </row>
    <row r="75" spans="2:16" hidden="1">
      <c r="B75" s="2312"/>
      <c r="C75" s="2074"/>
      <c r="D75" s="2074"/>
      <c r="E75" s="2074"/>
      <c r="F75" s="2288">
        <f>$F$74</f>
        <v>0</v>
      </c>
      <c r="G75" s="2074"/>
      <c r="H75" s="2288">
        <f>IF(OR($F$20=$R$6,$F$20=$U$6),CO2データ!I290,IF($F$20=$S$6,CO2データ!L290,CO2データ!O290))</f>
        <v>0</v>
      </c>
      <c r="I75" s="2288">
        <f>IF(OR($F$20=$R$6,$F$20=$U$6),CO2データ!J290,IF($F$20=$S$6,CO2データ!M290,CO2データ!P290))</f>
        <v>0</v>
      </c>
      <c r="J75" s="2288">
        <f>IF(OR($F$20=$R$6,$F$20=$U$6),CO2データ!K290,IF($F$20=$S$6,CO2データ!N290,CO2データ!Q290))</f>
        <v>0.81200000000000006</v>
      </c>
      <c r="K75" s="2316"/>
      <c r="L75" s="2314">
        <f t="shared" si="10"/>
        <v>0</v>
      </c>
      <c r="M75" s="2316"/>
      <c r="N75" s="2314"/>
      <c r="O75" s="2318">
        <f t="shared" si="11"/>
        <v>0</v>
      </c>
      <c r="P75" t="s">
        <v>2404</v>
      </c>
    </row>
    <row r="76" spans="2:16" hidden="1">
      <c r="B76" s="2312"/>
      <c r="C76" s="2074"/>
      <c r="D76" s="2074"/>
      <c r="E76" s="2074"/>
      <c r="F76" s="2288">
        <f>$F$74</f>
        <v>0</v>
      </c>
      <c r="G76" s="2074"/>
      <c r="H76" s="2288">
        <f>IF(OR($F$20=$R$6,$F$20=$U$6),CO2データ!I291,IF($F$20=$S$6,CO2データ!L291,CO2データ!O291))</f>
        <v>0.66</v>
      </c>
      <c r="I76" s="2288">
        <f>IF(OR($F$20=$R$6,$F$20=$U$6),CO2データ!J291,IF($F$20=$S$6,CO2データ!M291,CO2データ!P291))</f>
        <v>0</v>
      </c>
      <c r="J76" s="2288">
        <f>IF(OR($F$20=$R$6,$F$20=$U$6),CO2データ!K291,IF($F$20=$S$6,CO2データ!N291,CO2データ!Q291))</f>
        <v>6.6000000000000003E-2</v>
      </c>
      <c r="K76" s="2316"/>
      <c r="L76" s="2314">
        <f t="shared" si="10"/>
        <v>0.66</v>
      </c>
      <c r="M76" s="2316"/>
      <c r="N76" s="2314"/>
      <c r="O76" s="2318">
        <f t="shared" si="11"/>
        <v>0.66</v>
      </c>
      <c r="P76" t="s">
        <v>2407</v>
      </c>
    </row>
    <row r="77" spans="2:16" hidden="1">
      <c r="B77" s="2312"/>
      <c r="C77" s="2074"/>
      <c r="D77" s="2074"/>
      <c r="E77" s="2074"/>
      <c r="F77" s="2288">
        <f>$F$74</f>
        <v>0</v>
      </c>
      <c r="G77" s="2074"/>
      <c r="H77" s="2288">
        <f>IF(OR($F$20=$R$6,$F$20=$U$6),CO2データ!I292,IF($F$20=$S$6,CO2データ!L292,CO2データ!O292))</f>
        <v>0</v>
      </c>
      <c r="I77" s="2288">
        <f>IF(OR($F$20=$R$6,$F$20=$U$6),CO2データ!J292,IF($F$20=$S$6,CO2データ!M292,CO2データ!P292))</f>
        <v>0</v>
      </c>
      <c r="J77" s="2288">
        <f>IF(OR($F$20=$R$6,$F$20=$U$6),CO2データ!K292,IF($F$20=$S$6,CO2データ!N292,CO2データ!Q292))</f>
        <v>0</v>
      </c>
      <c r="K77" s="2316"/>
      <c r="L77" s="2314">
        <f t="shared" si="10"/>
        <v>0</v>
      </c>
      <c r="M77" s="2316"/>
      <c r="N77" s="2314"/>
      <c r="O77" s="2318">
        <f t="shared" si="11"/>
        <v>0</v>
      </c>
      <c r="P77" t="s">
        <v>2407</v>
      </c>
    </row>
    <row r="78" spans="2:16" hidden="1">
      <c r="B78" s="2312"/>
      <c r="C78" s="2074"/>
      <c r="D78" s="2074"/>
      <c r="E78" s="2074"/>
      <c r="F78" s="2288">
        <f>$F$74</f>
        <v>0</v>
      </c>
      <c r="G78" s="2074"/>
      <c r="H78" s="2288">
        <f>IF(OR($F$20=$R$6,$F$20=$U$6),CO2データ!I293,IF($F$20=$S$6,CO2データ!L293,CO2データ!O293))</f>
        <v>8.8999999999999996E-2</v>
      </c>
      <c r="I78" s="2288">
        <f>IF(OR($F$20=$R$6,$F$20=$U$6),CO2データ!J293,IF($F$20=$S$6,CO2データ!M293,CO2データ!P293))</f>
        <v>0</v>
      </c>
      <c r="J78" s="2288">
        <f>IF(OR($F$20=$R$6,$F$20=$U$6),CO2データ!K293,IF($F$20=$S$6,CO2データ!N293,CO2データ!Q293))</f>
        <v>8.8999999999999996E-2</v>
      </c>
      <c r="K78" s="2316"/>
      <c r="L78" s="2314">
        <f t="shared" si="10"/>
        <v>8.8999999999999996E-2</v>
      </c>
      <c r="M78" s="2316"/>
      <c r="N78" s="2314"/>
      <c r="O78" s="2318">
        <f t="shared" si="11"/>
        <v>8.8999999999999996E-2</v>
      </c>
      <c r="P78" t="s">
        <v>2407</v>
      </c>
    </row>
    <row r="79" spans="2:16" hidden="1">
      <c r="B79" s="2312"/>
      <c r="C79" s="2074"/>
      <c r="D79" s="2074"/>
      <c r="E79" s="2074"/>
      <c r="F79" s="2288">
        <f>$F$74</f>
        <v>0</v>
      </c>
      <c r="G79" s="2074"/>
      <c r="H79" s="2288">
        <f>IF(OR($F$20=$R$6,$F$20=$U$6),CO2データ!I294,IF($F$20=$S$6,CO2データ!L294,CO2データ!O294))</f>
        <v>0.01</v>
      </c>
      <c r="I79" s="2288">
        <f>IF(OR($F$20=$R$6,$F$20=$U$6),CO2データ!J294,IF($F$20=$S$6,CO2データ!M294,CO2データ!P294))</f>
        <v>0</v>
      </c>
      <c r="J79" s="2288">
        <f>IF(OR($F$20=$R$6,$F$20=$U$6),CO2データ!K294,IF($F$20=$S$6,CO2データ!N294,CO2データ!Q294))</f>
        <v>9.6900000000000007E-3</v>
      </c>
      <c r="K79" s="2316"/>
      <c r="L79" s="2314">
        <f t="shared" si="10"/>
        <v>0.01</v>
      </c>
      <c r="M79" s="2316"/>
      <c r="N79" s="2314"/>
      <c r="O79" s="2318">
        <f t="shared" si="11"/>
        <v>0.01</v>
      </c>
      <c r="P79" t="s">
        <v>2407</v>
      </c>
    </row>
    <row r="80" spans="2:16" hidden="1">
      <c r="B80" s="2312"/>
      <c r="C80" s="2074"/>
      <c r="D80" s="2074" t="s">
        <v>690</v>
      </c>
      <c r="E80" s="2074"/>
      <c r="F80" s="2288">
        <f>F17</f>
        <v>0</v>
      </c>
      <c r="G80" s="2074"/>
      <c r="H80" s="2288">
        <f>IF(OR($F$20=$R$6,$F$20=$U$6),CO2データ!I295,IF($F$20=$S$6,CO2データ!L295,CO2データ!O295))</f>
        <v>0.81599999999999995</v>
      </c>
      <c r="I80" s="2288">
        <f>IF(OR($F$20=$R$6,$F$20=$U$6),CO2データ!J295,IF($F$20=$S$6,CO2データ!M295,CO2データ!P295))</f>
        <v>0</v>
      </c>
      <c r="J80" s="2288">
        <f>IF(OR($F$20=$R$6,$F$20=$U$6),CO2データ!K295,IF($F$20=$S$6,CO2データ!N295,CO2データ!Q295))</f>
        <v>0</v>
      </c>
      <c r="K80" s="2316"/>
      <c r="L80" s="2314">
        <f t="shared" si="10"/>
        <v>0.81599999999999995</v>
      </c>
      <c r="M80" s="2316"/>
      <c r="N80" s="2314"/>
      <c r="O80" s="2318">
        <f t="shared" si="11"/>
        <v>0.81599999999999995</v>
      </c>
      <c r="P80" t="s">
        <v>2404</v>
      </c>
    </row>
    <row r="81" spans="2:16" hidden="1">
      <c r="B81" s="2312"/>
      <c r="C81" s="2074"/>
      <c r="D81" s="2074"/>
      <c r="E81" s="2074"/>
      <c r="F81" s="2288">
        <f>$F$80</f>
        <v>0</v>
      </c>
      <c r="G81" s="2074"/>
      <c r="H81" s="2288">
        <f>IF(OR($F$20=$R$6,$F$20=$U$6),CO2データ!I296,IF($F$20=$S$6,CO2データ!L296,CO2データ!O296))</f>
        <v>0</v>
      </c>
      <c r="I81" s="2288">
        <f>IF(OR($F$20=$R$6,$F$20=$U$6),CO2データ!J296,IF($F$20=$S$6,CO2データ!M296,CO2データ!P296))</f>
        <v>0</v>
      </c>
      <c r="J81" s="2288">
        <f>IF(OR($F$20=$R$6,$F$20=$U$6),CO2データ!K296,IF($F$20=$S$6,CO2データ!N296,CO2データ!Q296))</f>
        <v>0.81599999999999995</v>
      </c>
      <c r="K81" s="2316"/>
      <c r="L81" s="2314">
        <f t="shared" si="10"/>
        <v>0</v>
      </c>
      <c r="M81" s="2316"/>
      <c r="N81" s="2314"/>
      <c r="O81" s="2318">
        <f t="shared" si="11"/>
        <v>0</v>
      </c>
      <c r="P81" t="s">
        <v>2404</v>
      </c>
    </row>
    <row r="82" spans="2:16" hidden="1">
      <c r="B82" s="2312"/>
      <c r="C82" s="2074"/>
      <c r="D82" s="2074"/>
      <c r="E82" s="2074"/>
      <c r="F82" s="2288">
        <f>$F$80</f>
        <v>0</v>
      </c>
      <c r="G82" s="2074"/>
      <c r="H82" s="2288">
        <f>IF(OR($F$20=$R$6,$F$20=$U$6),CO2データ!I297,IF($F$20=$S$6,CO2データ!L297,CO2データ!O297))</f>
        <v>8.4000000000000005E-2</v>
      </c>
      <c r="I82" s="2288">
        <f>IF(OR($F$20=$R$6,$F$20=$U$6),CO2データ!J297,IF($F$20=$S$6,CO2データ!M297,CO2データ!P297))</f>
        <v>0</v>
      </c>
      <c r="J82" s="2288">
        <f>IF(OR($F$20=$R$6,$F$20=$U$6),CO2データ!K297,IF($F$20=$S$6,CO2データ!N297,CO2データ!Q297))</f>
        <v>8.4000000000000005E-2</v>
      </c>
      <c r="K82" s="2316"/>
      <c r="L82" s="2314">
        <f t="shared" si="10"/>
        <v>8.4000000000000005E-2</v>
      </c>
      <c r="M82" s="2316"/>
      <c r="N82" s="2314"/>
      <c r="O82" s="2318">
        <f t="shared" si="11"/>
        <v>8.4000000000000005E-2</v>
      </c>
      <c r="P82" t="s">
        <v>2407</v>
      </c>
    </row>
    <row r="83" spans="2:16" hidden="1">
      <c r="B83" s="2312"/>
      <c r="C83" s="2074"/>
      <c r="D83" s="2074"/>
      <c r="E83" s="2074"/>
      <c r="F83" s="2288">
        <f>$F$80</f>
        <v>0</v>
      </c>
      <c r="G83" s="2074"/>
      <c r="H83" s="2288">
        <f>IF(OR($F$20=$R$6,$F$20=$U$6),CO2データ!I298,IF($F$20=$S$6,CO2データ!L298,CO2データ!O298))</f>
        <v>0</v>
      </c>
      <c r="I83" s="2288">
        <f>IF(OR($F$20=$R$6,$F$20=$U$6),CO2データ!J298,IF($F$20=$S$6,CO2データ!M298,CO2データ!P298))</f>
        <v>0</v>
      </c>
      <c r="J83" s="2288">
        <f>IF(OR($F$20=$R$6,$F$20=$U$6),CO2データ!K298,IF($F$20=$S$6,CO2データ!N298,CO2データ!Q298))</f>
        <v>0</v>
      </c>
      <c r="K83" s="2316"/>
      <c r="L83" s="2314">
        <f t="shared" si="10"/>
        <v>0</v>
      </c>
      <c r="M83" s="2316"/>
      <c r="N83" s="2314"/>
      <c r="O83" s="2318">
        <f t="shared" si="11"/>
        <v>0</v>
      </c>
      <c r="P83" t="s">
        <v>2407</v>
      </c>
    </row>
    <row r="84" spans="2:16" hidden="1">
      <c r="B84" s="2312"/>
      <c r="C84" s="2074"/>
      <c r="D84" s="2074"/>
      <c r="E84" s="2074"/>
      <c r="F84" s="2288">
        <f>$F$80</f>
        <v>0</v>
      </c>
      <c r="G84" s="2074"/>
      <c r="H84" s="2288">
        <f>IF(OR($F$20=$R$6,$F$20=$U$6),CO2データ!I299,IF($F$20=$S$6,CO2データ!L299,CO2データ!O299))</f>
        <v>9.2999999999999999E-2</v>
      </c>
      <c r="I84" s="2288">
        <f>IF(OR($F$20=$R$6,$F$20=$U$6),CO2データ!J299,IF($F$20=$S$6,CO2データ!M299,CO2データ!P299))</f>
        <v>0</v>
      </c>
      <c r="J84" s="2288">
        <f>IF(OR($F$20=$R$6,$F$20=$U$6),CO2データ!K299,IF($F$20=$S$6,CO2データ!N299,CO2データ!Q299))</f>
        <v>9.2999999999999999E-2</v>
      </c>
      <c r="K84" s="2316"/>
      <c r="L84" s="2314">
        <f t="shared" si="10"/>
        <v>9.2999999999999999E-2</v>
      </c>
      <c r="M84" s="2316"/>
      <c r="N84" s="2314"/>
      <c r="O84" s="2318">
        <f t="shared" si="11"/>
        <v>9.2999999999999999E-2</v>
      </c>
      <c r="P84" t="s">
        <v>2407</v>
      </c>
    </row>
    <row r="85" spans="2:16" hidden="1">
      <c r="B85" s="2312"/>
      <c r="C85" s="2074"/>
      <c r="D85" s="2074"/>
      <c r="E85" s="2074"/>
      <c r="F85" s="2288">
        <f>$F$80</f>
        <v>0</v>
      </c>
      <c r="G85" s="2074"/>
      <c r="H85" s="2288">
        <f>IF(OR($F$20=$R$6,$F$20=$U$6),CO2データ!I300,IF($F$20=$S$6,CO2データ!L300,CO2データ!O300))</f>
        <v>1.2E-2</v>
      </c>
      <c r="I85" s="2288">
        <f>IF(OR($F$20=$R$6,$F$20=$U$6),CO2データ!J300,IF($F$20=$S$6,CO2データ!M300,CO2データ!P300))</f>
        <v>0</v>
      </c>
      <c r="J85" s="2288">
        <f>IF(OR($F$20=$R$6,$F$20=$U$6),CO2データ!K300,IF($F$20=$S$6,CO2データ!N300,CO2データ!Q300))</f>
        <v>1.248E-2</v>
      </c>
      <c r="K85" s="2316"/>
      <c r="L85" s="2314">
        <f t="shared" si="10"/>
        <v>1.2E-2</v>
      </c>
      <c r="M85" s="2316"/>
      <c r="N85" s="2314"/>
      <c r="O85" s="2318">
        <f t="shared" si="11"/>
        <v>1.2E-2</v>
      </c>
      <c r="P85" t="s">
        <v>2407</v>
      </c>
    </row>
    <row r="86" spans="2:16" hidden="1">
      <c r="B86" s="2312"/>
      <c r="C86" s="2074"/>
      <c r="D86" s="2074" t="s">
        <v>2089</v>
      </c>
      <c r="E86" s="2074"/>
      <c r="F86" s="2288">
        <f>F18</f>
        <v>0</v>
      </c>
      <c r="G86" s="2074"/>
      <c r="H86" s="2288">
        <f>IF(OR($F$20=$R$6,$F$20=$U$6),CO2データ!I301,IF($F$20=$S$6,CO2データ!L301,CO2データ!O301))</f>
        <v>0.75</v>
      </c>
      <c r="I86" s="2288">
        <f>IF(OR($F$20=$R$6,$F$20=$U$6),CO2データ!J301,IF($F$20=$S$6,CO2データ!M301,CO2データ!P301))</f>
        <v>0</v>
      </c>
      <c r="J86" s="2288">
        <f>IF(OR($F$20=$R$6,$F$20=$U$6),CO2データ!K301,IF($F$20=$S$6,CO2データ!N301,CO2データ!Q301))</f>
        <v>0</v>
      </c>
      <c r="K86" s="2316"/>
      <c r="L86" s="2314">
        <f t="shared" si="10"/>
        <v>0.75</v>
      </c>
      <c r="M86" s="2316"/>
      <c r="N86" s="2314"/>
      <c r="O86" s="2318">
        <f t="shared" si="11"/>
        <v>0.75</v>
      </c>
      <c r="P86" t="s">
        <v>2404</v>
      </c>
    </row>
    <row r="87" spans="2:16" hidden="1">
      <c r="B87" s="2312"/>
      <c r="C87" s="2074"/>
      <c r="D87" s="2074"/>
      <c r="E87" s="2074"/>
      <c r="F87" s="2288">
        <f>$F$86</f>
        <v>0</v>
      </c>
      <c r="G87" s="2074"/>
      <c r="H87" s="2288">
        <f>IF(OR($F$20=$R$6,$F$20=$U$6),CO2データ!I302,IF($F$20=$S$6,CO2データ!L302,CO2データ!O302))</f>
        <v>0</v>
      </c>
      <c r="I87" s="2288">
        <f>IF(OR($F$20=$R$6,$F$20=$U$6),CO2データ!J302,IF($F$20=$S$6,CO2データ!M302,CO2データ!P302))</f>
        <v>0</v>
      </c>
      <c r="J87" s="2288">
        <f>IF(OR($F$20=$R$6,$F$20=$U$6),CO2データ!K302,IF($F$20=$S$6,CO2データ!N302,CO2データ!Q302))</f>
        <v>0.75</v>
      </c>
      <c r="K87" s="2316"/>
      <c r="L87" s="2314">
        <f t="shared" si="10"/>
        <v>0</v>
      </c>
      <c r="M87" s="2316"/>
      <c r="N87" s="2314"/>
      <c r="O87" s="2318">
        <f t="shared" si="11"/>
        <v>0</v>
      </c>
      <c r="P87" t="s">
        <v>2404</v>
      </c>
    </row>
    <row r="88" spans="2:16" hidden="1">
      <c r="B88" s="2312"/>
      <c r="C88" s="2074"/>
      <c r="D88" s="2074"/>
      <c r="E88" s="2074"/>
      <c r="F88" s="2288">
        <f>$F$86</f>
        <v>0</v>
      </c>
      <c r="G88" s="2074"/>
      <c r="H88" s="2288">
        <f>IF(OR($F$20=$R$6,$F$20=$U$6),CO2データ!I303,IF($F$20=$S$6,CO2データ!L303,CO2データ!O303))</f>
        <v>5.1999999999999998E-2</v>
      </c>
      <c r="I88" s="2288">
        <f>IF(OR($F$20=$R$6,$F$20=$U$6),CO2データ!J303,IF($F$20=$S$6,CO2データ!M303,CO2データ!P303))</f>
        <v>0</v>
      </c>
      <c r="J88" s="2288">
        <f>IF(OR($F$20=$R$6,$F$20=$U$6),CO2データ!K303,IF($F$20=$S$6,CO2データ!N303,CO2データ!Q303))</f>
        <v>5.1999999999999998E-2</v>
      </c>
      <c r="K88" s="2316"/>
      <c r="L88" s="2314">
        <f t="shared" si="10"/>
        <v>5.1999999999999998E-2</v>
      </c>
      <c r="M88" s="2316"/>
      <c r="N88" s="2314"/>
      <c r="O88" s="2318">
        <f t="shared" si="11"/>
        <v>5.1999999999999998E-2</v>
      </c>
      <c r="P88" t="s">
        <v>2407</v>
      </c>
    </row>
    <row r="89" spans="2:16" hidden="1">
      <c r="B89" s="2312"/>
      <c r="C89" s="2074"/>
      <c r="D89" s="2074"/>
      <c r="E89" s="2074"/>
      <c r="F89" s="2288">
        <f>$F$86</f>
        <v>0</v>
      </c>
      <c r="G89" s="2074"/>
      <c r="H89" s="2288">
        <f>IF(OR($F$20=$R$6,$F$20=$U$6),CO2データ!I304,IF($F$20=$S$6,CO2データ!L304,CO2データ!O304))</f>
        <v>0</v>
      </c>
      <c r="I89" s="2288">
        <f>IF(OR($F$20=$R$6,$F$20=$U$6),CO2データ!J304,IF($F$20=$S$6,CO2データ!M304,CO2データ!P304))</f>
        <v>0</v>
      </c>
      <c r="J89" s="2288">
        <f>IF(OR($F$20=$R$6,$F$20=$U$6),CO2データ!K304,IF($F$20=$S$6,CO2データ!N304,CO2データ!Q304))</f>
        <v>0</v>
      </c>
      <c r="K89" s="2316"/>
      <c r="L89" s="2314">
        <f t="shared" si="10"/>
        <v>0</v>
      </c>
      <c r="M89" s="2316"/>
      <c r="N89" s="2314"/>
      <c r="O89" s="2318">
        <f t="shared" si="11"/>
        <v>0</v>
      </c>
      <c r="P89" t="s">
        <v>2407</v>
      </c>
    </row>
    <row r="90" spans="2:16" hidden="1">
      <c r="B90" s="2312"/>
      <c r="C90" s="2074"/>
      <c r="D90" s="2074"/>
      <c r="E90" s="2074"/>
      <c r="F90" s="2288">
        <f>$F$86</f>
        <v>0</v>
      </c>
      <c r="G90" s="2074"/>
      <c r="H90" s="2288">
        <f>IF(OR($F$20=$R$6,$F$20=$U$6),CO2データ!I305,IF($F$20=$S$6,CO2データ!L305,CO2データ!O305))</f>
        <v>0.13600000000000001</v>
      </c>
      <c r="I90" s="2288">
        <f>IF(OR($F$20=$R$6,$F$20=$U$6),CO2データ!J305,IF($F$20=$S$6,CO2データ!M305,CO2データ!P305))</f>
        <v>0</v>
      </c>
      <c r="J90" s="2288">
        <f>IF(OR($F$20=$R$6,$F$20=$U$6),CO2データ!K305,IF($F$20=$S$6,CO2データ!N305,CO2データ!Q305))</f>
        <v>0.13600000000000001</v>
      </c>
      <c r="K90" s="2316"/>
      <c r="L90" s="2314">
        <f t="shared" si="10"/>
        <v>0.13600000000000001</v>
      </c>
      <c r="M90" s="2316"/>
      <c r="N90" s="2314"/>
      <c r="O90" s="2318">
        <f t="shared" si="11"/>
        <v>0.13600000000000001</v>
      </c>
      <c r="P90" t="s">
        <v>2407</v>
      </c>
    </row>
    <row r="91" spans="2:16" hidden="1">
      <c r="B91" s="2312"/>
      <c r="C91" s="2074"/>
      <c r="D91" s="2074"/>
      <c r="E91" s="2074"/>
      <c r="F91" s="2288">
        <f>$F$86</f>
        <v>0</v>
      </c>
      <c r="G91" s="2074"/>
      <c r="H91" s="2288">
        <f>IF(OR($F$20=$R$6,$F$20=$U$6),CO2データ!I306,IF($F$20=$S$6,CO2データ!L306,CO2データ!O306))</f>
        <v>0.125</v>
      </c>
      <c r="I91" s="2288">
        <f>IF(OR($F$20=$R$6,$F$20=$U$6),CO2データ!J306,IF($F$20=$S$6,CO2データ!M306,CO2データ!P306))</f>
        <v>0</v>
      </c>
      <c r="J91" s="2288">
        <f>IF(OR($F$20=$R$6,$F$20=$U$6),CO2データ!K306,IF($F$20=$S$6,CO2データ!N306,CO2データ!Q306))</f>
        <v>0.12509999999999999</v>
      </c>
      <c r="K91" s="2316"/>
      <c r="L91" s="2314">
        <f t="shared" si="10"/>
        <v>0.125</v>
      </c>
      <c r="M91" s="2316"/>
      <c r="N91" s="2314"/>
      <c r="O91" s="2318">
        <f t="shared" si="11"/>
        <v>0.125</v>
      </c>
      <c r="P91" t="s">
        <v>2407</v>
      </c>
    </row>
    <row r="92" spans="2:16" hidden="1">
      <c r="B92" s="2301"/>
      <c r="C92" s="2072"/>
      <c r="D92" s="2072"/>
      <c r="E92" s="2072"/>
      <c r="F92" s="2072"/>
      <c r="G92" s="2072"/>
      <c r="H92" s="2072"/>
      <c r="I92" s="2072"/>
      <c r="J92" s="2072"/>
      <c r="K92" s="2072"/>
      <c r="L92" s="2072"/>
      <c r="M92" s="2072"/>
      <c r="N92" s="2072"/>
      <c r="O92" s="2201"/>
    </row>
    <row r="93" spans="2:16" hidden="1">
      <c r="B93" s="2312"/>
      <c r="C93" s="2074" t="s">
        <v>1956</v>
      </c>
      <c r="D93" s="2074" t="s">
        <v>480</v>
      </c>
      <c r="E93" s="2074"/>
      <c r="F93" s="2072"/>
      <c r="G93" s="2072"/>
      <c r="H93" s="2072"/>
      <c r="I93" s="2072"/>
      <c r="J93" s="2072"/>
      <c r="K93" s="2316"/>
      <c r="L93" s="2319">
        <f t="shared" ref="L93:L98" si="12">$F38*L38+$F44*L44+$F50*L50+$F56*L56+$F62*L62+$F68*L68+$F74*L74+$F80*L80+$F86*L86</f>
        <v>0</v>
      </c>
      <c r="M93" s="2316"/>
      <c r="N93" s="2320"/>
      <c r="O93" s="2319">
        <f t="shared" ref="O93:O98" si="13">$F38*O38+$F44*O44+$F50*O50+$F56*O56+$F62*O62+$F68*O68+$F74*O74+$F80*O80+$F86*O86</f>
        <v>0</v>
      </c>
      <c r="P93" t="s">
        <v>2404</v>
      </c>
    </row>
    <row r="94" spans="2:16" hidden="1">
      <c r="B94" s="2312"/>
      <c r="C94" s="2074"/>
      <c r="D94" s="2074"/>
      <c r="E94" s="2074"/>
      <c r="F94" s="2072"/>
      <c r="G94" s="2072"/>
      <c r="H94" s="2072"/>
      <c r="I94" s="2072"/>
      <c r="J94" s="2072"/>
      <c r="K94" s="2316"/>
      <c r="L94" s="2321">
        <f t="shared" si="12"/>
        <v>0</v>
      </c>
      <c r="M94" s="2316"/>
      <c r="N94" s="2320"/>
      <c r="O94" s="2321">
        <f t="shared" si="13"/>
        <v>0</v>
      </c>
      <c r="P94" t="s">
        <v>2404</v>
      </c>
    </row>
    <row r="95" spans="2:16" hidden="1">
      <c r="B95" s="2312"/>
      <c r="C95" s="2074"/>
      <c r="D95" s="2074"/>
      <c r="E95" s="2074"/>
      <c r="F95" s="2072"/>
      <c r="G95" s="2072"/>
      <c r="H95" s="2072"/>
      <c r="I95" s="2072"/>
      <c r="J95" s="2072"/>
      <c r="K95" s="2316"/>
      <c r="L95" s="2321">
        <f t="shared" si="12"/>
        <v>0</v>
      </c>
      <c r="M95" s="2316"/>
      <c r="N95" s="2320"/>
      <c r="O95" s="2321">
        <f t="shared" si="13"/>
        <v>0</v>
      </c>
      <c r="P95" t="s">
        <v>2407</v>
      </c>
    </row>
    <row r="96" spans="2:16" hidden="1">
      <c r="B96" s="2312"/>
      <c r="C96" s="2074"/>
      <c r="D96" s="2074"/>
      <c r="E96" s="2074"/>
      <c r="F96" s="2072"/>
      <c r="G96" s="2072"/>
      <c r="H96" s="2072"/>
      <c r="I96" s="2072"/>
      <c r="J96" s="2072"/>
      <c r="K96" s="2316"/>
      <c r="L96" s="2321">
        <f t="shared" si="12"/>
        <v>0</v>
      </c>
      <c r="M96" s="2316"/>
      <c r="N96" s="2320"/>
      <c r="O96" s="2321">
        <f t="shared" si="13"/>
        <v>0</v>
      </c>
      <c r="P96" t="s">
        <v>2407</v>
      </c>
    </row>
    <row r="97" spans="2:16" hidden="1">
      <c r="B97" s="2312"/>
      <c r="C97" s="2074"/>
      <c r="D97" s="2074"/>
      <c r="E97" s="2074"/>
      <c r="F97" s="2072"/>
      <c r="G97" s="2072"/>
      <c r="H97" s="2072"/>
      <c r="I97" s="2072"/>
      <c r="J97" s="2072"/>
      <c r="K97" s="2316"/>
      <c r="L97" s="2321">
        <f t="shared" si="12"/>
        <v>0</v>
      </c>
      <c r="M97" s="2316"/>
      <c r="N97" s="2320"/>
      <c r="O97" s="2321">
        <f t="shared" si="13"/>
        <v>0</v>
      </c>
      <c r="P97" t="s">
        <v>2407</v>
      </c>
    </row>
    <row r="98" spans="2:16" ht="13.5" hidden="1" thickBot="1">
      <c r="B98" s="2312"/>
      <c r="C98" s="2074"/>
      <c r="D98" s="2074"/>
      <c r="E98" s="2074"/>
      <c r="F98" s="2072"/>
      <c r="G98" s="2072"/>
      <c r="H98" s="2072"/>
      <c r="I98" s="2072"/>
      <c r="J98" s="2072"/>
      <c r="K98" s="2316"/>
      <c r="L98" s="2322">
        <f t="shared" si="12"/>
        <v>0</v>
      </c>
      <c r="M98" s="2316"/>
      <c r="N98" s="2320"/>
      <c r="O98" s="2322">
        <f t="shared" si="13"/>
        <v>0</v>
      </c>
      <c r="P98" t="s">
        <v>2407</v>
      </c>
    </row>
    <row r="99" spans="2:16" hidden="1">
      <c r="B99" s="2301"/>
      <c r="C99" s="2072"/>
      <c r="D99" s="2072"/>
      <c r="E99" s="2072"/>
      <c r="F99" s="2072"/>
      <c r="G99" s="2072"/>
      <c r="H99" s="2072"/>
      <c r="I99" s="2072"/>
      <c r="J99" s="2072"/>
      <c r="K99" s="2072"/>
      <c r="L99" s="2072"/>
      <c r="M99" s="2072"/>
      <c r="N99" s="2072"/>
      <c r="O99" s="2201"/>
    </row>
    <row r="100" spans="2:16" ht="16">
      <c r="B100" s="851" t="s">
        <v>1957</v>
      </c>
      <c r="C100" s="860"/>
      <c r="D100" s="862"/>
      <c r="E100" s="860"/>
      <c r="F100" s="2072"/>
      <c r="G100" s="2072"/>
      <c r="H100" s="852"/>
      <c r="I100" s="853"/>
      <c r="J100" s="853"/>
      <c r="K100" s="853"/>
      <c r="L100" s="853"/>
      <c r="M100" s="853"/>
      <c r="N100" s="853"/>
      <c r="O100" s="864"/>
    </row>
    <row r="101" spans="2:16" ht="15">
      <c r="B101" s="851"/>
      <c r="C101" s="855" t="s">
        <v>1958</v>
      </c>
      <c r="D101" s="862"/>
      <c r="E101" s="860"/>
      <c r="F101" s="2072"/>
      <c r="G101" s="2072"/>
      <c r="H101" s="852"/>
      <c r="I101" s="853"/>
      <c r="J101" s="852" t="s">
        <v>1952</v>
      </c>
      <c r="K101" s="853"/>
      <c r="L101" s="852" t="s">
        <v>1952</v>
      </c>
      <c r="M101" s="853"/>
      <c r="N101" s="853"/>
      <c r="O101" s="854" t="s">
        <v>1952</v>
      </c>
    </row>
    <row r="102" spans="2:16" ht="15">
      <c r="B102" s="2071"/>
      <c r="C102" s="862"/>
      <c r="D102" s="862" t="s">
        <v>332</v>
      </c>
      <c r="E102" s="860"/>
      <c r="F102" s="2287" t="s">
        <v>1642</v>
      </c>
      <c r="G102" s="860"/>
      <c r="H102" s="857" t="s">
        <v>1643</v>
      </c>
      <c r="I102" s="857" t="s">
        <v>1644</v>
      </c>
      <c r="J102" s="857" t="s">
        <v>1645</v>
      </c>
      <c r="K102" s="858" t="s">
        <v>330</v>
      </c>
      <c r="L102" s="859" t="s">
        <v>331</v>
      </c>
      <c r="M102" s="860"/>
      <c r="N102" s="858" t="s">
        <v>330</v>
      </c>
      <c r="O102" s="861" t="s">
        <v>331</v>
      </c>
    </row>
    <row r="103" spans="2:16">
      <c r="B103" s="2071"/>
      <c r="C103" s="862"/>
      <c r="D103" s="862"/>
      <c r="E103" s="862" t="s">
        <v>462</v>
      </c>
      <c r="F103" s="2288">
        <f t="shared" ref="F103:F111" si="14">F10</f>
        <v>0</v>
      </c>
      <c r="G103" s="860"/>
      <c r="H103" s="2288">
        <f>IF(OR($F$20=$R$6,$F$20=$U$6),CO2データ!I67,IF($F$20=$S$6,CO2データ!L67,CO2データ!O67))</f>
        <v>16.21</v>
      </c>
      <c r="I103" s="2288">
        <f>IF(OR($F$20=$R$6,$F$20=$U$6),CO2データ!J67,IF($F$20=$S$6,CO2データ!M67,CO2データ!P67))</f>
        <v>16.21</v>
      </c>
      <c r="J103" s="2288">
        <f>IF(OR($F$20=$R$6,$F$20=$U$6),CO2データ!K67,IF($F$20=$S$6,CO2データ!N67,CO2データ!Q67))</f>
        <v>16.21</v>
      </c>
      <c r="K103" s="2086">
        <f>スコア!O83</f>
        <v>3</v>
      </c>
      <c r="L103" s="2290">
        <f t="shared" ref="L103:L111" si="15">IF(K103&gt;=5,$J103,IF(K103&gt;=4,$I103,$H103))</f>
        <v>16.21</v>
      </c>
      <c r="M103" s="860"/>
      <c r="N103" s="2086">
        <v>3</v>
      </c>
      <c r="O103" s="2291">
        <f>IF(OR($F$20=$R$6,$F$20=$U$6),CO2データ!I65,IF($F$20=$S$6,CO2データ!L65,CO2データ!O65))</f>
        <v>16.21</v>
      </c>
    </row>
    <row r="104" spans="2:16">
      <c r="B104" s="2071"/>
      <c r="C104" s="860"/>
      <c r="D104" s="862"/>
      <c r="E104" s="862" t="s">
        <v>464</v>
      </c>
      <c r="F104" s="2288">
        <f t="shared" si="14"/>
        <v>0</v>
      </c>
      <c r="G104" s="860"/>
      <c r="H104" s="2288">
        <f>IF(OR($F$20=$R$6,$F$20=$U$6),CO2データ!I70,IF($F$20=$S$6,CO2データ!L70,CO2データ!O70))</f>
        <v>12.306000000000001</v>
      </c>
      <c r="I104" s="2288">
        <f>IF(OR($F$20=$R$6,$F$20=$U$6),CO2データ!J70,IF($F$20=$S$6,CO2データ!M70,CO2データ!P70))</f>
        <v>12.306000000000001</v>
      </c>
      <c r="J104" s="2288">
        <f>IF(OR($F$20=$R$6,$F$20=$U$6),CO2データ!K70,IF($F$20=$S$6,CO2データ!N70,CO2データ!Q70))</f>
        <v>12.306000000000001</v>
      </c>
      <c r="K104" s="2086">
        <f t="shared" ref="K104:K111" si="16">K$103</f>
        <v>3</v>
      </c>
      <c r="L104" s="2290">
        <f t="shared" si="15"/>
        <v>12.306000000000001</v>
      </c>
      <c r="M104" s="860"/>
      <c r="N104" s="2086">
        <v>3</v>
      </c>
      <c r="O104" s="2291">
        <f>IF(OR($F$20=$R$6,$F$20=$U$6),CO2データ!I68,IF($F$20=$S$6,CO2データ!L68,CO2データ!O68))</f>
        <v>12.306000000000001</v>
      </c>
    </row>
    <row r="105" spans="2:16">
      <c r="B105" s="2071"/>
      <c r="C105" s="860"/>
      <c r="D105" s="2072"/>
      <c r="E105" s="862" t="s">
        <v>466</v>
      </c>
      <c r="F105" s="2288">
        <f t="shared" si="14"/>
        <v>0</v>
      </c>
      <c r="G105" s="860"/>
      <c r="H105" s="2288">
        <f>IF(OR($F$20=$R$6,$F$20=$U$6),CO2データ!I73,IF($F$20=$S$6,CO2データ!L73,CO2データ!O73))</f>
        <v>6.91</v>
      </c>
      <c r="I105" s="2288">
        <f>IF(OR($F$20=$R$6,$F$20=$U$6),CO2データ!J73,IF($F$20=$S$6,CO2データ!M73,CO2データ!P73))</f>
        <v>6.91</v>
      </c>
      <c r="J105" s="2288">
        <f>IF(OR($F$20=$R$6,$F$20=$U$6),CO2データ!K73,IF($F$20=$S$6,CO2データ!N73,CO2データ!Q73))</f>
        <v>6.91</v>
      </c>
      <c r="K105" s="2086">
        <f t="shared" si="16"/>
        <v>3</v>
      </c>
      <c r="L105" s="2290">
        <f t="shared" si="15"/>
        <v>6.91</v>
      </c>
      <c r="M105" s="860"/>
      <c r="N105" s="2086">
        <v>3</v>
      </c>
      <c r="O105" s="2291">
        <f>IF(OR($F$20=$R$6,$F$20=$U$6),CO2データ!I71,IF($F$20=$S$6,CO2データ!L71,CO2データ!O71))</f>
        <v>6.91</v>
      </c>
    </row>
    <row r="106" spans="2:16">
      <c r="B106" s="2071"/>
      <c r="C106" s="860"/>
      <c r="D106" s="862"/>
      <c r="E106" s="862" t="s">
        <v>468</v>
      </c>
      <c r="F106" s="2288">
        <f t="shared" si="14"/>
        <v>0</v>
      </c>
      <c r="G106" s="860"/>
      <c r="H106" s="2288">
        <f>IF(OR($F$20=$R$6,$F$20=$U$6),CO2データ!I76,IF($F$20=$S$6,CO2データ!L76,CO2データ!O76))</f>
        <v>6.91</v>
      </c>
      <c r="I106" s="2288">
        <f>IF(OR($F$20=$R$6,$F$20=$U$6),CO2データ!J76,IF($F$20=$S$6,CO2データ!M76,CO2データ!P76))</f>
        <v>6.91</v>
      </c>
      <c r="J106" s="2288">
        <f>IF(OR($F$20=$R$6,$F$20=$U$6),CO2データ!K76,IF($F$20=$S$6,CO2データ!N76,CO2データ!Q76))</f>
        <v>6.91</v>
      </c>
      <c r="K106" s="2086">
        <f t="shared" si="16"/>
        <v>3</v>
      </c>
      <c r="L106" s="2290">
        <f t="shared" si="15"/>
        <v>6.91</v>
      </c>
      <c r="M106" s="860"/>
      <c r="N106" s="2086">
        <v>3</v>
      </c>
      <c r="O106" s="2291">
        <f>IF(OR($F$20=$R$6,$F$20=$U$6),CO2データ!I74,IF($F$20=$S$6,CO2データ!L74,CO2データ!O74))</f>
        <v>6.91</v>
      </c>
    </row>
    <row r="107" spans="2:16">
      <c r="B107" s="2071"/>
      <c r="C107" s="2072"/>
      <c r="D107" s="2072"/>
      <c r="E107" s="2077" t="s">
        <v>1973</v>
      </c>
      <c r="F107" s="2288">
        <f t="shared" si="14"/>
        <v>0</v>
      </c>
      <c r="G107" s="860"/>
      <c r="H107" s="2288">
        <f>IF(OR($F$20=$R$6,$F$20=$U$6),CO2データ!I79,IF($F$20=$S$6,CO2データ!L79,CO2データ!O79))</f>
        <v>13.251000000000001</v>
      </c>
      <c r="I107" s="2288">
        <f>IF(OR($F$20=$R$6,$F$20=$U$6),CO2データ!J79,IF($F$20=$S$6,CO2データ!M79,CO2データ!P79))</f>
        <v>13.251000000000001</v>
      </c>
      <c r="J107" s="2288">
        <f>IF(OR($F$20=$R$6,$F$20=$U$6),CO2データ!K79,IF($F$20=$S$6,CO2データ!N79,CO2データ!Q79))</f>
        <v>13.251000000000001</v>
      </c>
      <c r="K107" s="2086">
        <f t="shared" si="16"/>
        <v>3</v>
      </c>
      <c r="L107" s="2290">
        <f t="shared" si="15"/>
        <v>13.251000000000001</v>
      </c>
      <c r="M107" s="860"/>
      <c r="N107" s="2086">
        <v>3</v>
      </c>
      <c r="O107" s="2291">
        <f>IF(OR($F$20=$R$6,$F$20=$U$6),CO2データ!I77,IF($F$20=$S$6,CO2データ!L77,CO2データ!O77))</f>
        <v>13.251000000000001</v>
      </c>
    </row>
    <row r="108" spans="2:16">
      <c r="B108" s="2071"/>
      <c r="C108" s="2072"/>
      <c r="D108" s="2072"/>
      <c r="E108" s="2077" t="s">
        <v>478</v>
      </c>
      <c r="F108" s="2288">
        <f t="shared" si="14"/>
        <v>0</v>
      </c>
      <c r="G108" s="860"/>
      <c r="H108" s="2288">
        <f>IF(OR($F$20=$R$6,$F$20=$U$6),CO2データ!I82,IF($F$20=$S$6,CO2データ!L82,CO2データ!O82))</f>
        <v>9.0609999999999999</v>
      </c>
      <c r="I108" s="2288">
        <f>IF(OR($F$20=$R$6,$F$20=$U$6),CO2データ!J82,IF($F$20=$S$6,CO2データ!M82,CO2データ!P82))</f>
        <v>9.0609999999999999</v>
      </c>
      <c r="J108" s="2288">
        <f>IF(OR($F$20=$R$6,$F$20=$U$6),CO2データ!K82,IF($F$20=$S$6,CO2データ!N82,CO2データ!Q82))</f>
        <v>9.0609999999999999</v>
      </c>
      <c r="K108" s="2086">
        <f t="shared" si="16"/>
        <v>3</v>
      </c>
      <c r="L108" s="2290">
        <f t="shared" si="15"/>
        <v>9.0609999999999999</v>
      </c>
      <c r="M108" s="860"/>
      <c r="N108" s="2086">
        <v>3</v>
      </c>
      <c r="O108" s="2291">
        <f>IF(OR($F$20=$R$6,$F$20=$U$6),CO2データ!I80,IF($F$20=$S$6,CO2データ!L80,CO2データ!O80))</f>
        <v>9.0609999999999999</v>
      </c>
    </row>
    <row r="109" spans="2:16">
      <c r="B109" s="2071"/>
      <c r="C109" s="2072"/>
      <c r="D109" s="2072"/>
      <c r="E109" s="2077" t="s">
        <v>472</v>
      </c>
      <c r="F109" s="2288">
        <f t="shared" si="14"/>
        <v>0</v>
      </c>
      <c r="G109" s="860"/>
      <c r="H109" s="2288">
        <f>IF(OR($F$20=$R$6,$F$20=$U$6),CO2データ!I85,IF($F$20=$S$6,CO2データ!L85,CO2データ!O85))</f>
        <v>15.893999999999998</v>
      </c>
      <c r="I109" s="2288">
        <f>IF(OR($F$20=$R$6,$F$20=$U$6),CO2データ!J85,IF($F$20=$S$6,CO2データ!M85,CO2データ!P85))</f>
        <v>15.893999999999998</v>
      </c>
      <c r="J109" s="2288">
        <f>IF(OR($F$20=$R$6,$F$20=$U$6),CO2データ!K85,IF($F$20=$S$6,CO2データ!N85,CO2データ!Q85))</f>
        <v>15.893999999999998</v>
      </c>
      <c r="K109" s="2086">
        <f t="shared" si="16"/>
        <v>3</v>
      </c>
      <c r="L109" s="2290">
        <f t="shared" si="15"/>
        <v>15.893999999999998</v>
      </c>
      <c r="M109" s="860"/>
      <c r="N109" s="2086">
        <v>3</v>
      </c>
      <c r="O109" s="2291">
        <f>IF(OR($F$20=$R$6,$F$20=$U$6),CO2データ!I83,IF($F$20=$S$6,CO2データ!L83,CO2データ!O83))</f>
        <v>15.893999999999998</v>
      </c>
    </row>
    <row r="110" spans="2:16">
      <c r="B110" s="2071"/>
      <c r="C110" s="2072"/>
      <c r="D110" s="2072"/>
      <c r="E110" s="2077" t="s">
        <v>333</v>
      </c>
      <c r="F110" s="2288">
        <f t="shared" si="14"/>
        <v>0</v>
      </c>
      <c r="G110" s="860"/>
      <c r="H110" s="2288">
        <f>IF(OR($F$20=$R$6,$F$20=$U$6),CO2データ!I88,IF($F$20=$S$6,CO2データ!L88,CO2データ!O88))</f>
        <v>13.670999999999999</v>
      </c>
      <c r="I110" s="2288">
        <f>IF(OR($F$20=$R$6,$F$20=$U$6),CO2データ!J88,IF($F$20=$S$6,CO2データ!M88,CO2データ!P88))</f>
        <v>13.670999999999999</v>
      </c>
      <c r="J110" s="2288">
        <f>IF(OR($F$20=$R$6,$F$20=$U$6),CO2データ!K88,IF($F$20=$S$6,CO2データ!N88,CO2データ!Q88))</f>
        <v>13.670999999999999</v>
      </c>
      <c r="K110" s="2086">
        <f t="shared" si="16"/>
        <v>3</v>
      </c>
      <c r="L110" s="2290">
        <f t="shared" si="15"/>
        <v>13.670999999999999</v>
      </c>
      <c r="M110" s="860"/>
      <c r="N110" s="2086">
        <v>3</v>
      </c>
      <c r="O110" s="2291">
        <f>IF(OR($F$20=$R$6,$F$20=$U$6),CO2データ!I86,IF($F$20=$S$6,CO2データ!L86,CO2データ!O86))</f>
        <v>13.670999999999999</v>
      </c>
    </row>
    <row r="111" spans="2:16">
      <c r="B111" s="2071"/>
      <c r="C111" s="2072"/>
      <c r="D111" s="2072"/>
      <c r="E111" s="2077" t="s">
        <v>476</v>
      </c>
      <c r="F111" s="2288">
        <f t="shared" si="14"/>
        <v>0</v>
      </c>
      <c r="G111" s="860"/>
      <c r="H111" s="2288">
        <f>IF(OR($F$20=$R$6,$F$20=$U$6),CO2データ!I91,IF($F$20=$S$6,CO2データ!L91,CO2データ!O91))</f>
        <v>8.3640000000000008</v>
      </c>
      <c r="I111" s="2288">
        <f>IF(OR($F$20=$R$6,$F$20=$U$6),CO2データ!J91,IF($F$20=$S$6,CO2データ!M91,CO2データ!P91))</f>
        <v>9.68</v>
      </c>
      <c r="J111" s="2288">
        <f>IF(OR($F$20=$R$6,$F$20=$U$6),CO2データ!K91,IF($F$20=$S$6,CO2データ!N91,CO2データ!Q91))</f>
        <v>10.783000000000001</v>
      </c>
      <c r="K111" s="2086">
        <f t="shared" si="16"/>
        <v>3</v>
      </c>
      <c r="L111" s="2290">
        <f t="shared" si="15"/>
        <v>8.3640000000000008</v>
      </c>
      <c r="M111" s="860"/>
      <c r="N111" s="2086">
        <v>3</v>
      </c>
      <c r="O111" s="2291">
        <f>IF(OR($F$20=$R$6,$F$20=$U$6),CO2データ!I89,IF($F$20=$S$6,CO2データ!L89,CO2データ!O89))</f>
        <v>8.3640000000000008</v>
      </c>
    </row>
    <row r="112" spans="2:16" ht="13.5" thickBot="1">
      <c r="B112" s="2071"/>
      <c r="C112" s="2072"/>
      <c r="D112" s="2072"/>
      <c r="E112" s="2072"/>
      <c r="F112" s="2072"/>
      <c r="G112" s="2072"/>
      <c r="H112" s="2072"/>
      <c r="I112" s="2072"/>
      <c r="J112" s="2072"/>
      <c r="K112" s="2072"/>
      <c r="L112" s="2072"/>
      <c r="M112" s="2072"/>
      <c r="N112" s="2072"/>
      <c r="O112" s="2201"/>
    </row>
    <row r="113" spans="2:18" ht="13.5" thickBot="1">
      <c r="B113" s="2301"/>
      <c r="C113" s="855" t="s">
        <v>2090</v>
      </c>
      <c r="D113" s="862"/>
      <c r="E113" s="2077"/>
      <c r="F113" s="2072"/>
      <c r="G113" s="2072"/>
      <c r="H113" s="2072"/>
      <c r="I113" s="2072"/>
      <c r="J113" s="2072"/>
      <c r="K113" s="2072"/>
      <c r="L113" s="2304">
        <f>SUMPRODUCT(F103:F111,L103:L111)</f>
        <v>0</v>
      </c>
      <c r="M113" s="2072"/>
      <c r="N113" s="2072"/>
      <c r="O113" s="2304">
        <f>SUMPRODUCT(F103:F111,O103:O111)</f>
        <v>0</v>
      </c>
    </row>
    <row r="114" spans="2:18">
      <c r="B114" s="2071"/>
      <c r="C114" s="2072"/>
      <c r="D114" s="2072"/>
      <c r="E114" s="2072"/>
      <c r="F114" s="2072"/>
      <c r="G114" s="2072"/>
      <c r="H114" s="2072"/>
      <c r="I114" s="2072"/>
      <c r="J114" s="2072"/>
      <c r="K114" s="2072"/>
      <c r="L114" s="2072"/>
      <c r="M114" s="2072"/>
      <c r="N114" s="2072"/>
      <c r="O114" s="2201"/>
    </row>
    <row r="115" spans="2:18" ht="16.5" thickBot="1">
      <c r="B115" s="851" t="s">
        <v>1959</v>
      </c>
      <c r="C115" s="2072"/>
      <c r="D115" s="2072"/>
      <c r="E115" s="2072"/>
      <c r="F115" s="2072"/>
      <c r="G115" s="2072"/>
      <c r="H115" s="2072"/>
      <c r="I115" s="2072"/>
      <c r="J115" s="2072"/>
      <c r="K115" s="2072"/>
      <c r="L115" s="852" t="s">
        <v>1952</v>
      </c>
      <c r="M115" s="860"/>
      <c r="N115" s="860"/>
      <c r="O115" s="854" t="s">
        <v>1952</v>
      </c>
      <c r="R115" t="s">
        <v>1960</v>
      </c>
    </row>
    <row r="116" spans="2:18" ht="13.5" thickBot="1">
      <c r="B116" s="851"/>
      <c r="C116" s="855" t="s">
        <v>2091</v>
      </c>
      <c r="D116" s="2072"/>
      <c r="E116" s="2072"/>
      <c r="F116" s="2072" t="s">
        <v>427</v>
      </c>
      <c r="G116" s="2072"/>
      <c r="H116" s="2072" t="s">
        <v>1769</v>
      </c>
      <c r="I116" s="2072"/>
      <c r="J116" s="2072" t="s">
        <v>2344</v>
      </c>
      <c r="K116" s="2072"/>
      <c r="L116" s="865">
        <f>SUM(L118:L121)</f>
        <v>0</v>
      </c>
      <c r="M116" s="860"/>
      <c r="N116" s="866" t="s">
        <v>2092</v>
      </c>
      <c r="O116" s="865">
        <f>SUM(O118:O121)</f>
        <v>0</v>
      </c>
    </row>
    <row r="117" spans="2:18" ht="15">
      <c r="B117" s="851"/>
      <c r="C117" s="855"/>
      <c r="D117" s="2072"/>
      <c r="E117" s="2072"/>
      <c r="F117" s="2323" t="s">
        <v>2936</v>
      </c>
      <c r="G117" s="2072"/>
      <c r="H117" s="848" t="s">
        <v>1771</v>
      </c>
      <c r="I117" s="848" t="s">
        <v>1770</v>
      </c>
      <c r="J117" s="862" t="s">
        <v>1767</v>
      </c>
      <c r="K117" s="2072"/>
      <c r="L117" s="867"/>
      <c r="M117" s="860"/>
      <c r="N117" s="866"/>
      <c r="O117" s="2085"/>
    </row>
    <row r="118" spans="2:18">
      <c r="B118" s="851"/>
      <c r="C118" s="855"/>
      <c r="D118" s="2072"/>
      <c r="E118" s="2072" t="s">
        <v>655</v>
      </c>
      <c r="F118" s="2324">
        <f>計画書!H113</f>
        <v>0</v>
      </c>
      <c r="G118" s="2072"/>
      <c r="H118" s="2324">
        <f>計画書!P93</f>
        <v>0</v>
      </c>
      <c r="I118" s="2324" t="e">
        <f>計画書!N93</f>
        <v>#VALUE!</v>
      </c>
      <c r="J118" s="2214" t="e">
        <f>計画書!L113</f>
        <v>#DIV/0!</v>
      </c>
      <c r="K118" s="2072"/>
      <c r="L118" s="2127">
        <f>IF(F118=0,0,I118*J118/F122*1000)</f>
        <v>0</v>
      </c>
      <c r="M118" s="860"/>
      <c r="N118" s="866"/>
      <c r="O118" s="2325">
        <f>IF(F118=0,0,H118*J118/F122*1000)</f>
        <v>0</v>
      </c>
    </row>
    <row r="119" spans="2:18" s="2385" customFormat="1" hidden="1">
      <c r="B119" s="851"/>
      <c r="C119" s="855"/>
      <c r="D119" s="2072"/>
      <c r="E119" s="2072"/>
      <c r="F119" s="2324"/>
      <c r="G119" s="2072"/>
      <c r="H119" s="2324"/>
      <c r="I119" s="2324"/>
      <c r="J119" s="2214"/>
      <c r="K119" s="2072"/>
      <c r="L119" s="2127"/>
      <c r="M119" s="860"/>
      <c r="N119" s="866"/>
      <c r="O119" s="2325"/>
    </row>
    <row r="120" spans="2:18">
      <c r="B120" s="851"/>
      <c r="C120" s="855"/>
      <c r="D120" s="2072"/>
      <c r="E120" s="2072" t="s">
        <v>722</v>
      </c>
      <c r="F120" s="2324">
        <f>メイン!E64</f>
        <v>0</v>
      </c>
      <c r="G120" s="2072"/>
      <c r="H120" s="2324" t="e">
        <f>計画書!P125</f>
        <v>#N/A</v>
      </c>
      <c r="I120" s="2324" t="e">
        <f>計画書!N125</f>
        <v>#N/A</v>
      </c>
      <c r="J120" s="2214">
        <f>CO2データ!R207</f>
        <v>5.4360119672131155E-2</v>
      </c>
      <c r="K120" s="2072"/>
      <c r="L120" s="2127">
        <f>IF(F120=0,0,I120*J120/F122*1000)</f>
        <v>0</v>
      </c>
      <c r="M120" s="860"/>
      <c r="N120" s="866"/>
      <c r="O120" s="2325">
        <f>IF(F120=0,0,H120*J120/F122*1000)</f>
        <v>0</v>
      </c>
    </row>
    <row r="121" spans="2:18">
      <c r="B121" s="851"/>
      <c r="C121" s="855"/>
      <c r="D121" s="2072"/>
      <c r="E121" s="2072" t="s">
        <v>1768</v>
      </c>
      <c r="F121" s="2324">
        <f>メイン!E65</f>
        <v>0</v>
      </c>
      <c r="G121" s="2072"/>
      <c r="H121" s="2324">
        <f>計画書!P128</f>
        <v>0</v>
      </c>
      <c r="I121" s="2324">
        <f>IF(計画書!N128="-",0,計画書!N128)</f>
        <v>0</v>
      </c>
      <c r="J121" s="2214">
        <f>CO2データ!R208</f>
        <v>5.1741803278688527E-2</v>
      </c>
      <c r="K121" s="2072"/>
      <c r="L121" s="2127">
        <f>IF(F121=0,0,I121*J121/F122*1000)</f>
        <v>0</v>
      </c>
      <c r="M121" s="860"/>
      <c r="N121" s="866"/>
      <c r="O121" s="2325">
        <f>IF(F121=0,0,H121*J121/F122*1000)</f>
        <v>0</v>
      </c>
    </row>
    <row r="122" spans="2:18" ht="13.5" thickBot="1">
      <c r="B122" s="851"/>
      <c r="C122" s="2072"/>
      <c r="D122" s="2072"/>
      <c r="E122" s="2076" t="s">
        <v>3559</v>
      </c>
      <c r="F122" s="2324">
        <f>SUM(F118:F121)</f>
        <v>0</v>
      </c>
      <c r="G122" s="2072"/>
      <c r="H122" s="2072"/>
      <c r="I122" s="2072"/>
      <c r="J122" s="2072"/>
      <c r="K122" s="2072"/>
      <c r="L122" s="852"/>
      <c r="M122" s="860"/>
      <c r="N122" s="860"/>
      <c r="O122" s="854"/>
    </row>
    <row r="123" spans="2:18" ht="13.5" thickBot="1">
      <c r="B123" s="2071"/>
      <c r="C123" s="855" t="s">
        <v>2093</v>
      </c>
      <c r="D123" s="2072"/>
      <c r="E123" s="2072"/>
      <c r="F123" s="2072" t="s">
        <v>427</v>
      </c>
      <c r="G123" s="2072"/>
      <c r="H123" s="2072" t="s">
        <v>1769</v>
      </c>
      <c r="I123" s="2072"/>
      <c r="J123" s="2072" t="s">
        <v>2344</v>
      </c>
      <c r="K123" s="2072"/>
      <c r="L123" s="865">
        <f>SUM(L125:L127)</f>
        <v>0</v>
      </c>
      <c r="M123" s="2072"/>
      <c r="N123" s="2072"/>
      <c r="O123" s="2201"/>
    </row>
    <row r="124" spans="2:18" ht="15">
      <c r="B124" s="2071"/>
      <c r="C124" s="855"/>
      <c r="D124" s="2072"/>
      <c r="E124" s="2072"/>
      <c r="F124" s="2076" t="s">
        <v>2354</v>
      </c>
      <c r="G124" s="2072"/>
      <c r="H124" s="2326" t="s">
        <v>136</v>
      </c>
      <c r="I124" s="848" t="s">
        <v>1772</v>
      </c>
      <c r="J124" s="862" t="s">
        <v>1767</v>
      </c>
      <c r="K124" s="2072"/>
      <c r="L124" s="2072"/>
      <c r="M124" s="2072"/>
      <c r="N124" s="2072"/>
      <c r="O124" s="2201"/>
    </row>
    <row r="125" spans="2:18">
      <c r="B125" s="2071"/>
      <c r="C125" s="855"/>
      <c r="D125" s="2072"/>
      <c r="E125" s="2072" t="s">
        <v>655</v>
      </c>
      <c r="F125" s="2324">
        <f>F118</f>
        <v>0</v>
      </c>
      <c r="G125" s="2072"/>
      <c r="H125" s="2324">
        <f>計画書!J84</f>
        <v>0</v>
      </c>
      <c r="I125" s="2324" t="e">
        <f>I118-H125</f>
        <v>#VALUE!</v>
      </c>
      <c r="J125" s="2214" t="e">
        <f>J118</f>
        <v>#DIV/0!</v>
      </c>
      <c r="K125" s="2072"/>
      <c r="L125" s="2127">
        <f>IF(F125=0,0,I125*J125/F128*1000)</f>
        <v>0</v>
      </c>
      <c r="M125" s="2072"/>
      <c r="N125" s="2072"/>
      <c r="O125" s="2201"/>
    </row>
    <row r="126" spans="2:18">
      <c r="B126" s="2071"/>
      <c r="C126" s="855"/>
      <c r="D126" s="2072"/>
      <c r="E126" s="2424" t="s">
        <v>3310</v>
      </c>
      <c r="F126" s="2324">
        <f>F120</f>
        <v>0</v>
      </c>
      <c r="G126" s="2072"/>
      <c r="H126" s="2324">
        <f>IF(計画書!F62=計画書!S59,計画書!K84,0)</f>
        <v>0</v>
      </c>
      <c r="I126" s="2324" t="e">
        <f>I120-H126</f>
        <v>#N/A</v>
      </c>
      <c r="J126" s="2214">
        <f>J120</f>
        <v>5.4360119672131155E-2</v>
      </c>
      <c r="K126" s="2072"/>
      <c r="L126" s="2127">
        <f>IF(F126=0,0,I126*J126/F128*1000)</f>
        <v>0</v>
      </c>
      <c r="M126" s="2072"/>
      <c r="N126" s="2072"/>
      <c r="O126" s="2201"/>
    </row>
    <row r="127" spans="2:18">
      <c r="B127" s="2071"/>
      <c r="C127" s="855"/>
      <c r="D127" s="2072"/>
      <c r="E127" s="2072" t="s">
        <v>1768</v>
      </c>
      <c r="F127" s="2324">
        <f>F121</f>
        <v>0</v>
      </c>
      <c r="G127" s="2072"/>
      <c r="H127" s="2324">
        <f>計画書!L84</f>
        <v>0</v>
      </c>
      <c r="I127" s="2324">
        <f>I121-H127</f>
        <v>0</v>
      </c>
      <c r="J127" s="2214">
        <f>J121</f>
        <v>5.1741803278688527E-2</v>
      </c>
      <c r="K127" s="2072"/>
      <c r="L127" s="2127">
        <f>IF(F127=0,0,I127*J127/F128*1000)</f>
        <v>0</v>
      </c>
      <c r="M127" s="2072"/>
      <c r="N127" s="2072"/>
      <c r="O127" s="2201"/>
    </row>
    <row r="128" spans="2:18">
      <c r="B128" s="2071"/>
      <c r="C128" s="855"/>
      <c r="D128" s="2072"/>
      <c r="E128" s="3056" t="s">
        <v>3311</v>
      </c>
      <c r="F128" s="2324">
        <f>SUM(F124:F127)</f>
        <v>0</v>
      </c>
      <c r="G128" s="2072"/>
      <c r="H128" s="2072"/>
      <c r="I128" s="2072"/>
      <c r="J128" s="2072"/>
      <c r="K128" s="2072"/>
      <c r="L128" s="2072"/>
      <c r="M128" s="2072"/>
      <c r="N128" s="2072"/>
      <c r="O128" s="2201"/>
    </row>
    <row r="129" spans="2:15" hidden="1">
      <c r="B129" s="2071"/>
      <c r="C129" s="855"/>
      <c r="D129" s="2072"/>
      <c r="E129" s="2072"/>
      <c r="F129" s="2072" t="s">
        <v>2170</v>
      </c>
      <c r="G129" s="2072"/>
      <c r="H129" s="2324"/>
      <c r="I129" s="2214"/>
      <c r="J129" s="2196"/>
      <c r="K129" s="2072"/>
      <c r="L129" s="2072"/>
      <c r="M129" s="2072"/>
      <c r="N129" s="2072"/>
      <c r="O129" s="2201"/>
    </row>
    <row r="130" spans="2:15" hidden="1">
      <c r="B130" s="2071"/>
      <c r="C130" s="855"/>
      <c r="D130" s="2072"/>
      <c r="E130" s="2072"/>
      <c r="F130" s="2072"/>
      <c r="G130" s="2072"/>
      <c r="H130" s="860"/>
      <c r="I130" s="2072"/>
      <c r="J130" s="2072"/>
      <c r="K130" s="2072"/>
      <c r="L130" s="2198"/>
      <c r="M130" s="2072"/>
      <c r="N130" s="2072"/>
      <c r="O130" s="2201"/>
    </row>
    <row r="131" spans="2:15" ht="16">
      <c r="B131" s="851" t="s">
        <v>1961</v>
      </c>
      <c r="C131" s="860"/>
      <c r="D131" s="862"/>
      <c r="E131" s="860"/>
      <c r="F131" s="853"/>
      <c r="G131" s="860"/>
      <c r="H131" s="860"/>
      <c r="I131" s="860"/>
      <c r="J131" s="860"/>
      <c r="K131" s="2327"/>
      <c r="L131" s="852" t="s">
        <v>1952</v>
      </c>
      <c r="M131" s="860"/>
      <c r="N131" s="860"/>
      <c r="O131" s="854" t="s">
        <v>1952</v>
      </c>
    </row>
    <row r="132" spans="2:15" ht="15">
      <c r="B132" s="2075"/>
      <c r="C132" s="860"/>
      <c r="D132" s="862"/>
      <c r="E132" s="860"/>
      <c r="F132" s="853"/>
      <c r="G132" s="860"/>
      <c r="H132" s="860"/>
      <c r="I132" s="860"/>
      <c r="J132" s="860"/>
      <c r="K132" s="2327"/>
      <c r="L132" s="859" t="s">
        <v>331</v>
      </c>
      <c r="M132" s="860"/>
      <c r="N132" s="870"/>
      <c r="O132" s="861" t="s">
        <v>331</v>
      </c>
    </row>
    <row r="133" spans="2:15">
      <c r="B133" s="2075"/>
      <c r="C133" s="871" t="s">
        <v>726</v>
      </c>
      <c r="D133" s="872"/>
      <c r="E133" s="872"/>
      <c r="F133" s="873"/>
      <c r="G133" s="860"/>
      <c r="H133" s="860"/>
      <c r="I133" s="860"/>
      <c r="J133" s="860"/>
      <c r="K133" s="2327"/>
      <c r="L133" s="874">
        <f>L24</f>
        <v>0</v>
      </c>
      <c r="M133" s="860"/>
      <c r="N133" s="860"/>
      <c r="O133" s="875">
        <f>O24</f>
        <v>0</v>
      </c>
    </row>
    <row r="134" spans="2:15">
      <c r="B134" s="2075"/>
      <c r="C134" s="871" t="s">
        <v>2171</v>
      </c>
      <c r="D134" s="872"/>
      <c r="E134" s="872"/>
      <c r="F134" s="873"/>
      <c r="G134" s="860"/>
      <c r="H134" s="860"/>
      <c r="I134" s="860"/>
      <c r="J134" s="860"/>
      <c r="K134" s="2327"/>
      <c r="L134" s="874">
        <f>L113</f>
        <v>0</v>
      </c>
      <c r="M134" s="860"/>
      <c r="N134" s="860"/>
      <c r="O134" s="875">
        <f>O113</f>
        <v>0</v>
      </c>
    </row>
    <row r="135" spans="2:15">
      <c r="B135" s="2075"/>
      <c r="C135" s="871" t="s">
        <v>728</v>
      </c>
      <c r="D135" s="872"/>
      <c r="E135" s="872"/>
      <c r="F135" s="873"/>
      <c r="G135" s="860"/>
      <c r="H135" s="860"/>
      <c r="I135" s="860"/>
      <c r="J135" s="860"/>
      <c r="K135" s="2327"/>
      <c r="L135" s="876">
        <f>L123</f>
        <v>0</v>
      </c>
      <c r="M135" s="860"/>
      <c r="N135" s="860"/>
      <c r="O135" s="877">
        <f>O116</f>
        <v>0</v>
      </c>
    </row>
    <row r="136" spans="2:15" ht="13.5" thickBot="1">
      <c r="B136" s="2205"/>
      <c r="C136" s="878" t="s">
        <v>480</v>
      </c>
      <c r="D136" s="879"/>
      <c r="E136" s="880"/>
      <c r="F136" s="881"/>
      <c r="G136" s="2206"/>
      <c r="H136" s="2206"/>
      <c r="I136" s="2206"/>
      <c r="J136" s="2206"/>
      <c r="K136" s="2206"/>
      <c r="L136" s="882">
        <f>IF(COUNTIF(L133:L135,$R$115)&gt;0,$R$115,SUM(L133:L135))</f>
        <v>0</v>
      </c>
      <c r="M136" s="883"/>
      <c r="N136" s="883"/>
      <c r="O136" s="884">
        <f>IF(COUNTIF(O133:O135,$R$115)&gt;0,$R$115,SUM(O133:O135))</f>
        <v>0</v>
      </c>
    </row>
    <row r="137" spans="2:15"/>
    <row r="138" spans="2:15" hidden="1"/>
    <row r="139" spans="2:15" hidden="1"/>
    <row r="140" spans="2:15" hidden="1"/>
    <row r="141" spans="2:15" hidden="1"/>
    <row r="142" spans="2:15" hidden="1"/>
    <row r="143" spans="2:15" hidden="1"/>
    <row r="144" spans="2:15"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row r="181"/>
    <row r="182"/>
    <row r="183"/>
  </sheetData>
  <sheetProtection algorithmName="SHA-512" hashValue="M9dJmPMvj1KyouHUjrdE43a/DTZYh66WmD60SUQZQQ/S0rX/7tpQvBi3wXXFatu95nI/gyVm8adNxIxxEhW9yg==" saltValue="06oP2erZqtLZdhjdzElzew==" spinCount="100000" sheet="1" objects="1" scenarios="1"/>
  <mergeCells count="3">
    <mergeCell ref="L2:M2"/>
    <mergeCell ref="N2:O2"/>
    <mergeCell ref="L3:M3"/>
  </mergeCells>
  <phoneticPr fontId="22"/>
  <conditionalFormatting sqref="E135 E133">
    <cfRule type="cellIs" dxfId="11" priority="1" stopIfTrue="1" operator="equal">
      <formula>5</formula>
    </cfRule>
    <cfRule type="cellIs" dxfId="10" priority="2" stopIfTrue="1" operator="equal">
      <formula>4</formula>
    </cfRule>
    <cfRule type="cellIs" dxfId="9"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71" orientation="portrait" verticalDpi="300" r:id="rId1"/>
  <headerFooter alignWithMargins="0">
    <oddHeader>&amp;L&amp;F&amp;R&amp;A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167"/>
  <sheetViews>
    <sheetView showGridLines="0" zoomScaleNormal="100" workbookViewId="0">
      <selection activeCell="H15" sqref="H15"/>
    </sheetView>
  </sheetViews>
  <sheetFormatPr defaultColWidth="0" defaultRowHeight="13" zeroHeight="1"/>
  <cols>
    <col min="1" max="1" width="2" customWidth="1"/>
    <col min="2" max="2" width="10.6328125" customWidth="1"/>
    <col min="3" max="3" width="18.6328125" customWidth="1"/>
    <col min="4" max="5" width="29.26953125" customWidth="1"/>
    <col min="6" max="6" width="16.08984375" customWidth="1"/>
    <col min="7" max="7" width="2" customWidth="1"/>
    <col min="8" max="16" width="0" hidden="1" customWidth="1"/>
  </cols>
  <sheetData>
    <row r="1" spans="2:6" ht="6" customHeight="1"/>
    <row r="2" spans="2:6" ht="17">
      <c r="B2" s="1706" t="s">
        <v>527</v>
      </c>
      <c r="C2" s="1707"/>
      <c r="D2" s="1707"/>
      <c r="E2" s="1376" t="s">
        <v>2697</v>
      </c>
      <c r="F2" s="1377" t="str">
        <f>メイン!C11</f>
        <v>○○ビル</v>
      </c>
    </row>
    <row r="3" spans="2:6" ht="16.5" customHeight="1">
      <c r="F3" s="1708" t="str">
        <f>メイン!C5</f>
        <v>CASBEE-BD_NC_2016(v3.0)</v>
      </c>
    </row>
    <row r="4" spans="2:6">
      <c r="B4" s="3604" t="s">
        <v>2160</v>
      </c>
      <c r="C4" s="3605"/>
      <c r="D4" s="1709" t="s">
        <v>2619</v>
      </c>
      <c r="E4" s="1710" t="s">
        <v>2395</v>
      </c>
      <c r="F4" s="1710" t="s">
        <v>1325</v>
      </c>
    </row>
    <row r="5" spans="2:6" ht="35.25" customHeight="1">
      <c r="B5" s="3606" t="s">
        <v>2620</v>
      </c>
      <c r="C5" s="1710" t="s">
        <v>1816</v>
      </c>
      <c r="D5" s="1709" t="str">
        <f>メイン!C21</f>
        <v/>
      </c>
      <c r="E5" s="1709" t="str">
        <f>D5</f>
        <v/>
      </c>
      <c r="F5" s="1710"/>
    </row>
    <row r="6" spans="2:6">
      <c r="B6" s="3607"/>
      <c r="C6" s="1710" t="s">
        <v>2621</v>
      </c>
      <c r="D6" s="1712">
        <f>メイン!C19</f>
        <v>0</v>
      </c>
      <c r="E6" s="1712">
        <f>D6</f>
        <v>0</v>
      </c>
      <c r="F6" s="1703"/>
    </row>
    <row r="7" spans="2:6">
      <c r="B7" s="3608"/>
      <c r="C7" s="1710" t="s">
        <v>2622</v>
      </c>
      <c r="D7" s="1710">
        <f>メイン!C23</f>
        <v>0</v>
      </c>
      <c r="E7" s="1710">
        <f>D7</f>
        <v>0</v>
      </c>
      <c r="F7" s="1703"/>
    </row>
    <row r="8" spans="2:6" ht="31.5" customHeight="1">
      <c r="B8" s="1709" t="s">
        <v>2623</v>
      </c>
      <c r="C8" s="1714" t="s">
        <v>2624</v>
      </c>
      <c r="D8" s="1715" t="str">
        <f>CO2計算!O35</f>
        <v/>
      </c>
      <c r="E8" s="1715" t="str">
        <f>CO2計算!L35</f>
        <v/>
      </c>
      <c r="F8" s="1716"/>
    </row>
    <row r="9" spans="2:6" ht="19.5" customHeight="1">
      <c r="B9" s="1717"/>
      <c r="C9" s="1714" t="s">
        <v>331</v>
      </c>
      <c r="D9" s="1718">
        <f>CO2計算!O133</f>
        <v>0</v>
      </c>
      <c r="E9" s="1718">
        <f>CO2計算!L133</f>
        <v>0</v>
      </c>
      <c r="F9" s="1719" t="s">
        <v>2625</v>
      </c>
    </row>
    <row r="10" spans="2:6" ht="29.25" customHeight="1">
      <c r="B10" s="3601" t="s">
        <v>1609</v>
      </c>
      <c r="C10" s="1709" t="s">
        <v>1610</v>
      </c>
      <c r="D10" s="1720" t="s">
        <v>1359</v>
      </c>
      <c r="E10" s="1721" t="s">
        <v>1611</v>
      </c>
      <c r="F10" s="1703"/>
    </row>
    <row r="11" spans="2:6" ht="29.25" customHeight="1">
      <c r="B11" s="3601"/>
      <c r="C11" s="1709" t="s">
        <v>1612</v>
      </c>
      <c r="D11" s="1720" t="s">
        <v>1360</v>
      </c>
      <c r="E11" s="1722" t="s">
        <v>2605</v>
      </c>
      <c r="F11" s="1703"/>
    </row>
    <row r="12" spans="2:6">
      <c r="B12" s="3601"/>
      <c r="C12" s="1711" t="s">
        <v>528</v>
      </c>
      <c r="D12" s="1723" t="s">
        <v>2606</v>
      </c>
      <c r="E12" s="1724" t="s">
        <v>2605</v>
      </c>
      <c r="F12" s="1725"/>
    </row>
    <row r="13" spans="2:6">
      <c r="B13" s="3602"/>
      <c r="C13" s="1727" t="s">
        <v>2400</v>
      </c>
      <c r="D13" s="1728"/>
      <c r="E13" s="1729"/>
      <c r="F13" s="1730"/>
    </row>
    <row r="14" spans="2:6" ht="19.5" customHeight="1">
      <c r="B14" s="3601"/>
      <c r="C14" s="1731" t="s">
        <v>2403</v>
      </c>
      <c r="D14" s="1732">
        <f>CO2計算!O93</f>
        <v>0</v>
      </c>
      <c r="E14" s="1733">
        <f>CO2計算!L93</f>
        <v>0</v>
      </c>
      <c r="F14" s="1734" t="s">
        <v>529</v>
      </c>
    </row>
    <row r="15" spans="2:6" ht="14">
      <c r="B15" s="3601"/>
      <c r="C15" s="1735" t="s">
        <v>2405</v>
      </c>
      <c r="D15" s="1736">
        <f>CO2計算!O94</f>
        <v>0</v>
      </c>
      <c r="E15" s="1737">
        <f>CO2計算!L94</f>
        <v>0</v>
      </c>
      <c r="F15" s="1738" t="s">
        <v>529</v>
      </c>
    </row>
    <row r="16" spans="2:6">
      <c r="B16" s="3601"/>
      <c r="C16" s="1735" t="s">
        <v>2406</v>
      </c>
      <c r="D16" s="1736">
        <f>CO2計算!O95</f>
        <v>0</v>
      </c>
      <c r="E16" s="1737">
        <f>CO2計算!L95</f>
        <v>0</v>
      </c>
      <c r="F16" s="1739" t="s">
        <v>2407</v>
      </c>
    </row>
    <row r="17" spans="2:6">
      <c r="B17" s="3601"/>
      <c r="C17" s="1735" t="s">
        <v>2408</v>
      </c>
      <c r="D17" s="1736">
        <f>CO2計算!O96</f>
        <v>0</v>
      </c>
      <c r="E17" s="1737">
        <f>CO2計算!L96</f>
        <v>0</v>
      </c>
      <c r="F17" s="1739" t="s">
        <v>2407</v>
      </c>
    </row>
    <row r="18" spans="2:6">
      <c r="B18" s="3601"/>
      <c r="C18" s="1735" t="s">
        <v>2409</v>
      </c>
      <c r="D18" s="1736">
        <f>CO2計算!O97</f>
        <v>0</v>
      </c>
      <c r="E18" s="1737">
        <f>CO2計算!L97</f>
        <v>0</v>
      </c>
      <c r="F18" s="1739" t="s">
        <v>2407</v>
      </c>
    </row>
    <row r="19" spans="2:6">
      <c r="B19" s="3601"/>
      <c r="C19" s="1735" t="s">
        <v>2087</v>
      </c>
      <c r="D19" s="1736">
        <f>CO2計算!O98</f>
        <v>0</v>
      </c>
      <c r="E19" s="1737">
        <f>CO2計算!L98</f>
        <v>0</v>
      </c>
      <c r="F19" s="1739" t="s">
        <v>2407</v>
      </c>
    </row>
    <row r="20" spans="2:6">
      <c r="B20" s="3601"/>
      <c r="C20" s="1740" t="s">
        <v>530</v>
      </c>
      <c r="D20" s="1740" t="s">
        <v>531</v>
      </c>
      <c r="E20" s="1741" t="s">
        <v>1607</v>
      </c>
      <c r="F20" s="1742" t="s">
        <v>532</v>
      </c>
    </row>
    <row r="21" spans="2:6">
      <c r="B21" s="3602"/>
      <c r="C21" s="1727" t="s">
        <v>1608</v>
      </c>
      <c r="D21" s="1728"/>
      <c r="E21" s="1729"/>
      <c r="F21" s="1743"/>
    </row>
    <row r="22" spans="2:6" ht="15.5">
      <c r="B22" s="3601"/>
      <c r="C22" s="1731" t="s">
        <v>2403</v>
      </c>
      <c r="D22" s="1732">
        <v>266.70999999999998</v>
      </c>
      <c r="E22" s="1733" t="s">
        <v>1607</v>
      </c>
      <c r="F22" s="1738" t="s">
        <v>533</v>
      </c>
    </row>
    <row r="23" spans="2:6" ht="15.5">
      <c r="B23" s="3601"/>
      <c r="C23" s="1735" t="s">
        <v>2405</v>
      </c>
      <c r="D23" s="1736">
        <v>216.57</v>
      </c>
      <c r="E23" s="1737" t="s">
        <v>1607</v>
      </c>
      <c r="F23" s="1739" t="s">
        <v>533</v>
      </c>
    </row>
    <row r="24" spans="2:6" ht="15">
      <c r="B24" s="3601"/>
      <c r="C24" s="1735" t="s">
        <v>2406</v>
      </c>
      <c r="D24" s="1736">
        <v>1.28</v>
      </c>
      <c r="E24" s="1737" t="s">
        <v>1607</v>
      </c>
      <c r="F24" s="1739" t="s">
        <v>3039</v>
      </c>
    </row>
    <row r="25" spans="2:6" ht="15">
      <c r="B25" s="3601"/>
      <c r="C25" s="1735" t="s">
        <v>2408</v>
      </c>
      <c r="D25" s="1736" t="s">
        <v>3429</v>
      </c>
      <c r="E25" s="1737" t="s">
        <v>1607</v>
      </c>
      <c r="F25" s="1739" t="s">
        <v>3040</v>
      </c>
    </row>
    <row r="26" spans="2:6" ht="15">
      <c r="B26" s="3601"/>
      <c r="C26" s="1735" t="s">
        <v>2409</v>
      </c>
      <c r="D26" s="1736">
        <v>0.51</v>
      </c>
      <c r="E26" s="1737" t="s">
        <v>1607</v>
      </c>
      <c r="F26" s="1739" t="s">
        <v>3039</v>
      </c>
    </row>
    <row r="27" spans="2:6" ht="15">
      <c r="B27" s="3601"/>
      <c r="C27" s="1735" t="s">
        <v>292</v>
      </c>
      <c r="D27" s="1736">
        <v>4.75</v>
      </c>
      <c r="E27" s="1737" t="s">
        <v>1607</v>
      </c>
      <c r="F27" s="1739" t="s">
        <v>3041</v>
      </c>
    </row>
    <row r="28" spans="2:6" ht="15">
      <c r="B28" s="3601"/>
      <c r="C28" s="1740" t="s">
        <v>530</v>
      </c>
      <c r="D28" s="1740" t="s">
        <v>531</v>
      </c>
      <c r="E28" s="1741" t="s">
        <v>3042</v>
      </c>
      <c r="F28" s="1739" t="s">
        <v>3039</v>
      </c>
    </row>
    <row r="29" spans="2:6" ht="13.5" thickBot="1">
      <c r="B29" s="3602"/>
      <c r="C29" s="1727" t="s">
        <v>293</v>
      </c>
      <c r="D29" s="1728"/>
      <c r="E29" s="1744"/>
      <c r="F29" s="1745"/>
    </row>
    <row r="30" spans="2:6" ht="29.25" customHeight="1">
      <c r="B30" s="3601"/>
      <c r="C30" s="1731" t="s">
        <v>294</v>
      </c>
      <c r="D30" s="1746">
        <v>0</v>
      </c>
      <c r="E30" s="1747">
        <v>0</v>
      </c>
      <c r="F30" s="1748"/>
    </row>
    <row r="31" spans="2:6" ht="29.25" customHeight="1" thickBot="1">
      <c r="B31" s="3601"/>
      <c r="C31" s="1731" t="s">
        <v>295</v>
      </c>
      <c r="D31" s="1746">
        <v>0</v>
      </c>
      <c r="E31" s="1749">
        <v>0</v>
      </c>
      <c r="F31" s="1750"/>
    </row>
    <row r="32" spans="2:6" ht="24" customHeight="1">
      <c r="B32" s="3601"/>
      <c r="C32" s="1735" t="s">
        <v>296</v>
      </c>
      <c r="D32" s="1746">
        <v>0</v>
      </c>
      <c r="E32" s="1746">
        <v>0</v>
      </c>
      <c r="F32" s="1751"/>
    </row>
    <row r="33" spans="2:6" ht="24" customHeight="1">
      <c r="B33" s="3601"/>
      <c r="C33" s="1752" t="s">
        <v>297</v>
      </c>
      <c r="D33" s="1753">
        <v>0</v>
      </c>
      <c r="E33" s="1753">
        <v>0</v>
      </c>
      <c r="F33" s="1754"/>
    </row>
    <row r="34" spans="2:6" ht="19.5" customHeight="1">
      <c r="B34" s="1711"/>
      <c r="C34" s="1755" t="s">
        <v>331</v>
      </c>
      <c r="D34" s="1756">
        <f>CO2計算!O134</f>
        <v>0</v>
      </c>
      <c r="E34" s="1757">
        <f>CO2計算!L134</f>
        <v>0</v>
      </c>
      <c r="F34" s="1719" t="s">
        <v>2625</v>
      </c>
    </row>
    <row r="35" spans="2:6">
      <c r="B35" s="1726" t="s">
        <v>535</v>
      </c>
      <c r="C35" s="1758" t="s">
        <v>298</v>
      </c>
      <c r="D35" s="1759"/>
      <c r="E35" s="1759"/>
      <c r="F35" s="1730"/>
    </row>
    <row r="36" spans="2:6">
      <c r="B36" s="1717" t="s">
        <v>536</v>
      </c>
      <c r="C36" s="1785" t="s">
        <v>2612</v>
      </c>
      <c r="D36" s="1761">
        <f>CO2データ!I308</f>
        <v>25</v>
      </c>
      <c r="E36" s="1761">
        <f>CO2データ!I308</f>
        <v>25</v>
      </c>
      <c r="F36" s="1754"/>
    </row>
    <row r="37" spans="2:6" ht="13.5" hidden="1" customHeight="1">
      <c r="B37" s="1717"/>
      <c r="C37" s="1735" t="s">
        <v>2614</v>
      </c>
      <c r="D37" s="1762"/>
      <c r="E37" s="1762"/>
      <c r="F37" s="1763"/>
    </row>
    <row r="38" spans="2:6">
      <c r="B38" s="1717"/>
      <c r="C38" s="1735" t="s">
        <v>2615</v>
      </c>
      <c r="D38" s="1762">
        <f>CO2データ!I310</f>
        <v>18</v>
      </c>
      <c r="E38" s="1762">
        <f>CO2データ!I310</f>
        <v>18</v>
      </c>
      <c r="F38" s="1763"/>
    </row>
    <row r="39" spans="2:6">
      <c r="B39" s="1717"/>
      <c r="C39" s="1752" t="s">
        <v>2616</v>
      </c>
      <c r="D39" s="1761">
        <f>CO2データ!I311</f>
        <v>15</v>
      </c>
      <c r="E39" s="1761">
        <f>CO2データ!I311</f>
        <v>15</v>
      </c>
      <c r="F39" s="1754"/>
    </row>
    <row r="40" spans="2:6">
      <c r="B40" s="1726"/>
      <c r="C40" s="1758" t="s">
        <v>299</v>
      </c>
      <c r="D40" s="1759"/>
      <c r="E40" s="1759"/>
      <c r="F40" s="1730"/>
    </row>
    <row r="41" spans="2:6">
      <c r="B41" s="1717"/>
      <c r="C41" s="1785" t="s">
        <v>2612</v>
      </c>
      <c r="D41" s="1764">
        <f>CO2データ!I314</f>
        <v>0.01</v>
      </c>
      <c r="E41" s="1764">
        <f>CO2データ!I314</f>
        <v>0.01</v>
      </c>
      <c r="F41" s="1765"/>
    </row>
    <row r="42" spans="2:6">
      <c r="B42" s="1717"/>
      <c r="C42" s="1735" t="s">
        <v>2615</v>
      </c>
      <c r="D42" s="1766">
        <f>CO2データ!I315</f>
        <v>0.01</v>
      </c>
      <c r="E42" s="1766">
        <f>CO2データ!I315</f>
        <v>0.01</v>
      </c>
      <c r="F42" s="1767"/>
    </row>
    <row r="43" spans="2:6">
      <c r="B43" s="1717"/>
      <c r="C43" s="1752" t="s">
        <v>2616</v>
      </c>
      <c r="D43" s="1768">
        <f>CO2データ!I316</f>
        <v>0.02</v>
      </c>
      <c r="E43" s="1768">
        <f>CO2データ!I316</f>
        <v>0.02</v>
      </c>
      <c r="F43" s="1769"/>
    </row>
    <row r="44" spans="2:6" ht="29.25" customHeight="1">
      <c r="B44" s="1770"/>
      <c r="C44" s="1714" t="s">
        <v>650</v>
      </c>
      <c r="D44" s="1720" t="s">
        <v>651</v>
      </c>
      <c r="E44" s="1709" t="s">
        <v>652</v>
      </c>
      <c r="F44" s="1703"/>
    </row>
    <row r="45" spans="2:6" ht="15">
      <c r="B45" s="1711"/>
      <c r="C45" s="1758" t="s">
        <v>331</v>
      </c>
      <c r="D45" s="1728"/>
      <c r="E45" s="1771"/>
      <c r="F45" s="1772"/>
    </row>
    <row r="46" spans="2:6" ht="24" customHeight="1">
      <c r="B46" s="1717"/>
      <c r="C46" s="1709" t="s">
        <v>537</v>
      </c>
      <c r="D46" s="1718">
        <f>CO2計算!O135</f>
        <v>0</v>
      </c>
      <c r="E46" s="1718">
        <f>CO2計算!L116</f>
        <v>0</v>
      </c>
      <c r="F46" s="1719" t="s">
        <v>2625</v>
      </c>
    </row>
    <row r="47" spans="2:6" ht="24" customHeight="1">
      <c r="B47" s="1717"/>
      <c r="C47" s="1731" t="s">
        <v>538</v>
      </c>
      <c r="D47" s="1773" t="s">
        <v>539</v>
      </c>
      <c r="E47" s="1774">
        <f>CO2計算!L123</f>
        <v>0</v>
      </c>
      <c r="F47" s="1738" t="s">
        <v>540</v>
      </c>
    </row>
    <row r="48" spans="2:6" ht="24" hidden="1" customHeight="1">
      <c r="B48" s="3601" t="s">
        <v>653</v>
      </c>
      <c r="C48" s="1740"/>
      <c r="D48" s="1775"/>
      <c r="E48" s="1776"/>
      <c r="F48" s="1777" t="s">
        <v>2625</v>
      </c>
    </row>
    <row r="49" spans="2:6" ht="24" hidden="1" customHeight="1">
      <c r="B49" s="3601"/>
      <c r="C49" s="1717"/>
      <c r="D49" s="1778"/>
      <c r="E49" s="1776"/>
      <c r="F49" s="1777" t="s">
        <v>541</v>
      </c>
    </row>
    <row r="50" spans="2:6" ht="24" hidden="1" customHeight="1">
      <c r="B50" s="3601"/>
      <c r="C50" s="1717"/>
      <c r="D50" s="1779"/>
      <c r="E50" s="1780" t="e">
        <f>'条件(個別)'!E80</f>
        <v>#DIV/0!</v>
      </c>
      <c r="F50" s="1781" t="s">
        <v>542</v>
      </c>
    </row>
    <row r="51" spans="2:6" ht="24" hidden="1" customHeight="1">
      <c r="B51" s="3601"/>
      <c r="C51" s="1770"/>
      <c r="D51" s="1782" t="s">
        <v>1124</v>
      </c>
      <c r="E51" s="1783" t="s">
        <v>543</v>
      </c>
      <c r="F51" s="1784"/>
    </row>
    <row r="52" spans="2:6" ht="29.25" customHeight="1">
      <c r="B52" s="3602"/>
      <c r="C52" s="1785" t="s">
        <v>544</v>
      </c>
      <c r="D52" s="2223" t="s">
        <v>543</v>
      </c>
      <c r="E52" s="2224">
        <f>E47</f>
        <v>0</v>
      </c>
      <c r="F52" s="1734" t="s">
        <v>545</v>
      </c>
    </row>
    <row r="53" spans="2:6" ht="30" customHeight="1">
      <c r="B53" s="3601"/>
      <c r="C53" s="1740" t="s">
        <v>654</v>
      </c>
      <c r="D53" s="1788" t="s">
        <v>546</v>
      </c>
      <c r="E53" s="1789" t="s">
        <v>539</v>
      </c>
      <c r="F53" s="1739"/>
    </row>
    <row r="54" spans="2:6" ht="27.75" customHeight="1">
      <c r="B54" s="3601"/>
      <c r="C54" s="1717"/>
      <c r="D54" s="1788" t="s">
        <v>547</v>
      </c>
      <c r="E54" s="1789" t="s">
        <v>539</v>
      </c>
      <c r="F54" s="1739"/>
    </row>
    <row r="55" spans="2:6" ht="24" customHeight="1">
      <c r="B55" s="3601"/>
      <c r="C55" s="1717"/>
      <c r="D55" s="1788" t="s">
        <v>548</v>
      </c>
      <c r="E55" s="1789" t="s">
        <v>539</v>
      </c>
      <c r="F55" s="1739"/>
    </row>
    <row r="56" spans="2:6" ht="29.25" customHeight="1">
      <c r="B56" s="1717"/>
      <c r="C56" s="1717"/>
      <c r="D56" s="1788" t="s">
        <v>549</v>
      </c>
      <c r="E56" s="1789" t="s">
        <v>539</v>
      </c>
      <c r="F56" s="1787"/>
    </row>
    <row r="57" spans="2:6" ht="24" hidden="1" customHeight="1">
      <c r="B57" s="1717"/>
      <c r="C57" s="1770"/>
      <c r="D57" s="1790"/>
      <c r="E57" s="1783" t="s">
        <v>539</v>
      </c>
      <c r="F57" s="1784"/>
    </row>
    <row r="58" spans="2:6" ht="29.25" customHeight="1">
      <c r="B58" s="3601"/>
      <c r="C58" s="1714" t="s">
        <v>1125</v>
      </c>
      <c r="D58" s="1720" t="s">
        <v>2685</v>
      </c>
      <c r="E58" s="1720" t="s">
        <v>2686</v>
      </c>
      <c r="F58" s="1703"/>
    </row>
    <row r="59" spans="2:6" ht="18.75" customHeight="1">
      <c r="B59" s="3601"/>
      <c r="C59" s="1755" t="s">
        <v>441</v>
      </c>
      <c r="D59" s="1791" t="e">
        <f>CO2計算!H118+CO2計算!H121+CO2計算!H120</f>
        <v>#N/A</v>
      </c>
      <c r="E59" s="1791" t="e">
        <f>CO2計算!I125+CO2計算!I127+CO2計算!I126</f>
        <v>#VALUE!</v>
      </c>
      <c r="F59" s="1792" t="s">
        <v>657</v>
      </c>
    </row>
    <row r="60" spans="2:6" ht="15">
      <c r="B60" s="3602"/>
      <c r="C60" s="1793" t="s">
        <v>1027</v>
      </c>
      <c r="D60" s="1759"/>
      <c r="E60" s="1759"/>
      <c r="F60" s="1772"/>
    </row>
    <row r="61" spans="2:6" ht="15">
      <c r="B61" s="3601"/>
      <c r="C61" s="1794" t="s">
        <v>2749</v>
      </c>
      <c r="D61" s="1795" t="e">
        <f>CO2計算!J118</f>
        <v>#DIV/0!</v>
      </c>
      <c r="E61" s="1796" t="s">
        <v>652</v>
      </c>
      <c r="F61" s="1781" t="s">
        <v>180</v>
      </c>
    </row>
    <row r="62" spans="2:6" ht="15">
      <c r="B62" s="3601"/>
      <c r="C62" s="1794" t="s">
        <v>2750</v>
      </c>
      <c r="D62" s="1795">
        <f>CO2計算!J120</f>
        <v>5.4360119672131155E-2</v>
      </c>
      <c r="E62" s="1798" t="s">
        <v>652</v>
      </c>
      <c r="F62" s="1781" t="s">
        <v>180</v>
      </c>
    </row>
    <row r="63" spans="2:6" ht="15">
      <c r="B63" s="3601"/>
      <c r="C63" s="1797" t="s">
        <v>2687</v>
      </c>
      <c r="D63" s="1798">
        <f>CO2データ!I95</f>
        <v>0.505</v>
      </c>
      <c r="E63" s="1798" t="s">
        <v>652</v>
      </c>
      <c r="F63" s="1777" t="s">
        <v>3495</v>
      </c>
    </row>
    <row r="64" spans="2:6" ht="15">
      <c r="B64" s="3601"/>
      <c r="C64" s="1797" t="s">
        <v>181</v>
      </c>
      <c r="D64" s="1798">
        <f>CO2データ!I97</f>
        <v>4.9799999999999997E-2</v>
      </c>
      <c r="E64" s="1798" t="s">
        <v>652</v>
      </c>
      <c r="F64" s="1781" t="s">
        <v>180</v>
      </c>
    </row>
    <row r="65" spans="2:6" ht="24">
      <c r="B65" s="3601"/>
      <c r="C65" s="1799" t="s">
        <v>2681</v>
      </c>
      <c r="D65" s="1800" t="s">
        <v>313</v>
      </c>
      <c r="E65" s="1800" t="s">
        <v>652</v>
      </c>
      <c r="F65" s="1801" t="s">
        <v>180</v>
      </c>
    </row>
    <row r="66" spans="2:6">
      <c r="B66" s="1717"/>
      <c r="C66" s="1802" t="s">
        <v>2682</v>
      </c>
      <c r="D66" s="1803"/>
      <c r="E66" s="1803"/>
      <c r="F66" s="1804"/>
    </row>
    <row r="67" spans="2:6">
      <c r="B67" s="1717"/>
      <c r="C67" s="1760"/>
      <c r="D67" s="1713"/>
      <c r="E67" s="1713"/>
      <c r="F67" s="1769"/>
    </row>
    <row r="68" spans="2:6">
      <c r="B68" s="3603" t="s">
        <v>365</v>
      </c>
      <c r="C68" s="3598"/>
      <c r="D68" s="3598"/>
      <c r="E68" s="3598"/>
      <c r="F68" s="3598"/>
    </row>
    <row r="69" spans="2:6">
      <c r="B69" s="3603"/>
      <c r="C69" s="3599"/>
      <c r="D69" s="3599"/>
      <c r="E69" s="3599"/>
      <c r="F69" s="3599"/>
    </row>
    <row r="70" spans="2:6">
      <c r="B70" s="3603"/>
      <c r="C70" s="3599"/>
      <c r="D70" s="3599"/>
      <c r="E70" s="3599"/>
      <c r="F70" s="3599"/>
    </row>
    <row r="71" spans="2:6">
      <c r="B71" s="3603"/>
      <c r="C71" s="3600"/>
      <c r="D71" s="3600"/>
      <c r="E71" s="3600"/>
      <c r="F71" s="3600"/>
    </row>
    <row r="72" spans="2:6"/>
    <row r="73" spans="2:6" hidden="1"/>
    <row r="74" spans="2:6" hidden="1"/>
    <row r="75" spans="2:6" hidden="1"/>
    <row r="76" spans="2:6" hidden="1"/>
    <row r="77" spans="2:6" hidden="1"/>
    <row r="78" spans="2:6" hidden="1"/>
    <row r="79" spans="2:6" hidden="1"/>
    <row r="80" spans="2: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sheetData>
  <sheetProtection algorithmName="SHA-512" hashValue="ltje1lBxjOHAJ/8P9e87yduPAEycvlg1PlUkRHtY5GIyoKy02Fu/pzMcrDPKA1LRCX/M3oAtEfC3pdWhfdn94A==" saltValue="IfR0olVaBBCb80IdMxdx7Q==" spinCount="100000" sheet="1" objects="1" scenarios="1"/>
  <mergeCells count="10">
    <mergeCell ref="B4:C4"/>
    <mergeCell ref="B5:B7"/>
    <mergeCell ref="B10:B33"/>
    <mergeCell ref="B48:B55"/>
    <mergeCell ref="E68:E71"/>
    <mergeCell ref="F68:F71"/>
    <mergeCell ref="B58:B65"/>
    <mergeCell ref="B68:B71"/>
    <mergeCell ref="C68:C71"/>
    <mergeCell ref="D68:D71"/>
  </mergeCells>
  <phoneticPr fontId="22"/>
  <printOptions horizontalCentered="1"/>
  <pageMargins left="0.59055118110236227" right="0.59055118110236227" top="0.78740157480314965" bottom="0.7" header="0.51181102362204722" footer="0.51181102362204722"/>
  <pageSetup paperSize="9" scale="69" orientation="portrait" verticalDpi="300" r:id="rId1"/>
  <headerFooter alignWithMargins="0">
    <oddHeader>&amp;L&amp;F&amp;R&amp;A</oddHeader>
    <oddFooter>&amp;C&amp;P/&amp;N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F175"/>
  <sheetViews>
    <sheetView showGridLines="0" zoomScaleNormal="100" workbookViewId="0">
      <selection activeCell="H15" sqref="H15"/>
    </sheetView>
  </sheetViews>
  <sheetFormatPr defaultColWidth="0" defaultRowHeight="13" zeroHeight="1"/>
  <cols>
    <col min="1" max="1" width="2" customWidth="1"/>
    <col min="2" max="2" width="9.453125" customWidth="1"/>
    <col min="3" max="3" width="19.453125" customWidth="1"/>
    <col min="4" max="4" width="30.26953125" customWidth="1"/>
    <col min="5" max="5" width="29.08984375" customWidth="1"/>
    <col min="6" max="6" width="16.08984375" customWidth="1"/>
    <col min="7" max="7" width="1.90625" customWidth="1"/>
  </cols>
  <sheetData>
    <row r="1" spans="2:6" ht="6" customHeight="1"/>
    <row r="2" spans="2:6" ht="17">
      <c r="B2" s="1706" t="s">
        <v>183</v>
      </c>
      <c r="C2" s="1707"/>
      <c r="D2" s="1707"/>
      <c r="E2" s="1376" t="s">
        <v>2697</v>
      </c>
      <c r="F2" s="1377" t="str">
        <f>メイン!C11</f>
        <v>○○ビル</v>
      </c>
    </row>
    <row r="3" spans="2:6" ht="15.75" customHeight="1">
      <c r="F3" s="1708" t="str">
        <f>メイン!C5</f>
        <v>CASBEE-BD_NC_2016(v3.0)</v>
      </c>
    </row>
    <row r="4" spans="2:6">
      <c r="B4" s="3604" t="s">
        <v>2160</v>
      </c>
      <c r="C4" s="3605"/>
      <c r="D4" s="1709" t="s">
        <v>2619</v>
      </c>
      <c r="E4" s="1710" t="s">
        <v>2395</v>
      </c>
      <c r="F4" s="1710" t="s">
        <v>1325</v>
      </c>
    </row>
    <row r="5" spans="2:6" ht="27" customHeight="1">
      <c r="B5" s="1711" t="s">
        <v>2620</v>
      </c>
      <c r="C5" s="1710" t="s">
        <v>1816</v>
      </c>
      <c r="D5" s="1709" t="str">
        <f>メイン!C21</f>
        <v/>
      </c>
      <c r="E5" s="1709" t="str">
        <f>D5</f>
        <v/>
      </c>
      <c r="F5" s="1805"/>
    </row>
    <row r="6" spans="2:6">
      <c r="B6" s="1765"/>
      <c r="C6" s="1710" t="s">
        <v>2621</v>
      </c>
      <c r="D6" s="1712">
        <f>メイン!C19</f>
        <v>0</v>
      </c>
      <c r="E6" s="1712">
        <f>D6</f>
        <v>0</v>
      </c>
      <c r="F6" s="1806"/>
    </row>
    <row r="7" spans="2:6">
      <c r="B7" s="1769"/>
      <c r="C7" s="1710" t="s">
        <v>2622</v>
      </c>
      <c r="D7" s="1710">
        <f>メイン!C23</f>
        <v>0</v>
      </c>
      <c r="E7" s="1710">
        <f>D7</f>
        <v>0</v>
      </c>
      <c r="F7" s="1806"/>
    </row>
    <row r="8" spans="2:6" ht="31.5" customHeight="1">
      <c r="B8" s="1709" t="s">
        <v>2623</v>
      </c>
      <c r="C8" s="1714" t="s">
        <v>2624</v>
      </c>
      <c r="D8" s="1807"/>
      <c r="E8" s="1807"/>
      <c r="F8" s="1808"/>
    </row>
    <row r="9" spans="2:6" ht="19.5" customHeight="1">
      <c r="B9" s="1717"/>
      <c r="C9" s="1714" t="s">
        <v>331</v>
      </c>
      <c r="D9" s="1809">
        <v>35</v>
      </c>
      <c r="E9" s="1809">
        <v>30</v>
      </c>
      <c r="F9" s="1808" t="s">
        <v>2625</v>
      </c>
    </row>
    <row r="10" spans="2:6" ht="29.25" customHeight="1">
      <c r="B10" s="3601" t="s">
        <v>1609</v>
      </c>
      <c r="C10" s="1709" t="s">
        <v>1610</v>
      </c>
      <c r="D10" s="1810"/>
      <c r="E10" s="1811"/>
      <c r="F10" s="1806"/>
    </row>
    <row r="11" spans="2:6" ht="29.25" customHeight="1">
      <c r="B11" s="3601"/>
      <c r="C11" s="1709" t="s">
        <v>1612</v>
      </c>
      <c r="D11" s="1810"/>
      <c r="E11" s="1812"/>
      <c r="F11" s="1806"/>
    </row>
    <row r="12" spans="2:6" ht="29.25" customHeight="1">
      <c r="B12" s="3601"/>
      <c r="C12" s="1709" t="s">
        <v>184</v>
      </c>
      <c r="D12" s="1810"/>
      <c r="E12" s="1812"/>
      <c r="F12" s="1808"/>
    </row>
    <row r="13" spans="2:6">
      <c r="B13" s="3601"/>
      <c r="C13" s="1727" t="s">
        <v>2400</v>
      </c>
      <c r="D13" s="1728"/>
      <c r="E13" s="1729"/>
      <c r="F13" s="1730"/>
    </row>
    <row r="14" spans="2:6" ht="14">
      <c r="B14" s="3601"/>
      <c r="C14" s="1785" t="s">
        <v>2403</v>
      </c>
      <c r="D14" s="1813" t="s">
        <v>185</v>
      </c>
      <c r="E14" s="1814" t="s">
        <v>186</v>
      </c>
      <c r="F14" s="1815" t="s">
        <v>529</v>
      </c>
    </row>
    <row r="15" spans="2:6" ht="14">
      <c r="B15" s="3601"/>
      <c r="C15" s="1816" t="s">
        <v>2405</v>
      </c>
      <c r="D15" s="1817" t="s">
        <v>187</v>
      </c>
      <c r="E15" s="1818" t="s">
        <v>1607</v>
      </c>
      <c r="F15" s="1819" t="s">
        <v>529</v>
      </c>
    </row>
    <row r="16" spans="2:6">
      <c r="B16" s="3601"/>
      <c r="C16" s="1735" t="s">
        <v>2406</v>
      </c>
      <c r="D16" s="1817" t="s">
        <v>531</v>
      </c>
      <c r="E16" s="1818" t="s">
        <v>1607</v>
      </c>
      <c r="F16" s="1820" t="s">
        <v>2407</v>
      </c>
    </row>
    <row r="17" spans="2:6">
      <c r="B17" s="3601"/>
      <c r="C17" s="1735" t="s">
        <v>2408</v>
      </c>
      <c r="D17" s="1817" t="s">
        <v>188</v>
      </c>
      <c r="E17" s="1818" t="s">
        <v>1607</v>
      </c>
      <c r="F17" s="1820" t="s">
        <v>2407</v>
      </c>
    </row>
    <row r="18" spans="2:6">
      <c r="B18" s="3601"/>
      <c r="C18" s="1735" t="s">
        <v>2409</v>
      </c>
      <c r="D18" s="1817" t="s">
        <v>531</v>
      </c>
      <c r="E18" s="1818" t="s">
        <v>1607</v>
      </c>
      <c r="F18" s="1820" t="s">
        <v>2407</v>
      </c>
    </row>
    <row r="19" spans="2:6">
      <c r="B19" s="3601"/>
      <c r="C19" s="1817" t="s">
        <v>530</v>
      </c>
      <c r="D19" s="1817" t="s">
        <v>531</v>
      </c>
      <c r="E19" s="1818" t="s">
        <v>534</v>
      </c>
      <c r="F19" s="1820" t="s">
        <v>2407</v>
      </c>
    </row>
    <row r="20" spans="2:6">
      <c r="B20" s="3601"/>
      <c r="C20" s="1821" t="s">
        <v>530</v>
      </c>
      <c r="D20" s="1821" t="s">
        <v>531</v>
      </c>
      <c r="E20" s="1822" t="s">
        <v>1607</v>
      </c>
      <c r="F20" s="1823" t="s">
        <v>2683</v>
      </c>
    </row>
    <row r="21" spans="2:6">
      <c r="B21" s="3602"/>
      <c r="C21" s="1727" t="s">
        <v>1608</v>
      </c>
      <c r="D21" s="1728"/>
      <c r="E21" s="1729"/>
      <c r="F21" s="1730"/>
    </row>
    <row r="22" spans="2:6" ht="15.5">
      <c r="B22" s="3601"/>
      <c r="C22" s="1731" t="s">
        <v>2403</v>
      </c>
      <c r="D22" s="1824" t="s">
        <v>185</v>
      </c>
      <c r="E22" s="1825" t="s">
        <v>186</v>
      </c>
      <c r="F22" s="1819" t="s">
        <v>3043</v>
      </c>
    </row>
    <row r="23" spans="2:6" ht="15.5">
      <c r="B23" s="3601"/>
      <c r="C23" s="1816" t="s">
        <v>2405</v>
      </c>
      <c r="D23" s="1817" t="s">
        <v>187</v>
      </c>
      <c r="E23" s="1818" t="s">
        <v>1607</v>
      </c>
      <c r="F23" s="1820" t="s">
        <v>3043</v>
      </c>
    </row>
    <row r="24" spans="2:6" ht="15">
      <c r="B24" s="3601"/>
      <c r="C24" s="1735" t="s">
        <v>2406</v>
      </c>
      <c r="D24" s="1817" t="s">
        <v>531</v>
      </c>
      <c r="E24" s="1818" t="s">
        <v>1607</v>
      </c>
      <c r="F24" s="1820" t="s">
        <v>3044</v>
      </c>
    </row>
    <row r="25" spans="2:6" ht="15">
      <c r="B25" s="3601"/>
      <c r="C25" s="1735" t="s">
        <v>2408</v>
      </c>
      <c r="D25" s="1817" t="s">
        <v>188</v>
      </c>
      <c r="E25" s="1818" t="s">
        <v>1607</v>
      </c>
      <c r="F25" s="1820" t="s">
        <v>3044</v>
      </c>
    </row>
    <row r="26" spans="2:6" ht="15">
      <c r="B26" s="3601"/>
      <c r="C26" s="1735" t="s">
        <v>2409</v>
      </c>
      <c r="D26" s="1817" t="s">
        <v>531</v>
      </c>
      <c r="E26" s="1818" t="s">
        <v>1607</v>
      </c>
      <c r="F26" s="1820" t="s">
        <v>3044</v>
      </c>
    </row>
    <row r="27" spans="2:6" ht="15">
      <c r="B27" s="3601"/>
      <c r="C27" s="1826" t="s">
        <v>695</v>
      </c>
      <c r="D27" s="1817" t="s">
        <v>531</v>
      </c>
      <c r="E27" s="1818" t="s">
        <v>534</v>
      </c>
      <c r="F27" s="1820" t="s">
        <v>3044</v>
      </c>
    </row>
    <row r="28" spans="2:6" ht="15">
      <c r="B28" s="3601"/>
      <c r="C28" s="1821" t="s">
        <v>530</v>
      </c>
      <c r="D28" s="1821" t="s">
        <v>531</v>
      </c>
      <c r="E28" s="1822" t="s">
        <v>1607</v>
      </c>
      <c r="F28" s="1820" t="s">
        <v>3044</v>
      </c>
    </row>
    <row r="29" spans="2:6">
      <c r="B29" s="3602"/>
      <c r="C29" s="1727" t="s">
        <v>293</v>
      </c>
      <c r="D29" s="1728"/>
      <c r="E29" s="1729"/>
      <c r="F29" s="1772"/>
    </row>
    <row r="30" spans="2:6" ht="29.25" customHeight="1">
      <c r="B30" s="3601"/>
      <c r="C30" s="1731" t="s">
        <v>294</v>
      </c>
      <c r="D30" s="1827" t="s">
        <v>189</v>
      </c>
      <c r="E30" s="1827" t="s">
        <v>189</v>
      </c>
      <c r="F30" s="1828"/>
    </row>
    <row r="31" spans="2:6" ht="29.25" customHeight="1">
      <c r="B31" s="3601"/>
      <c r="C31" s="1731" t="s">
        <v>295</v>
      </c>
      <c r="D31" s="1827" t="s">
        <v>190</v>
      </c>
      <c r="E31" s="1827" t="s">
        <v>190</v>
      </c>
      <c r="F31" s="1828"/>
    </row>
    <row r="32" spans="2:6" ht="24" customHeight="1">
      <c r="B32" s="3601"/>
      <c r="C32" s="1735" t="s">
        <v>296</v>
      </c>
      <c r="D32" s="1827" t="s">
        <v>191</v>
      </c>
      <c r="E32" s="1827" t="s">
        <v>191</v>
      </c>
      <c r="F32" s="1829"/>
    </row>
    <row r="33" spans="2:6" ht="24" customHeight="1">
      <c r="B33" s="3601"/>
      <c r="C33" s="1752" t="s">
        <v>297</v>
      </c>
      <c r="D33" s="1830" t="s">
        <v>191</v>
      </c>
      <c r="E33" s="1830" t="s">
        <v>191</v>
      </c>
      <c r="F33" s="1831"/>
    </row>
    <row r="34" spans="2:6" ht="19.5" customHeight="1">
      <c r="B34" s="1711"/>
      <c r="C34" s="1755" t="s">
        <v>331</v>
      </c>
      <c r="D34" s="1832">
        <v>10</v>
      </c>
      <c r="E34" s="1832">
        <v>8</v>
      </c>
      <c r="F34" s="1808" t="s">
        <v>2625</v>
      </c>
    </row>
    <row r="35" spans="2:6" ht="24">
      <c r="B35" s="1726" t="s">
        <v>192</v>
      </c>
      <c r="C35" s="1758" t="s">
        <v>298</v>
      </c>
      <c r="D35" s="1759"/>
      <c r="E35" s="1759"/>
      <c r="F35" s="1730"/>
    </row>
    <row r="36" spans="2:6">
      <c r="B36" s="1717" t="s">
        <v>536</v>
      </c>
      <c r="C36" s="1785" t="s">
        <v>2612</v>
      </c>
      <c r="D36" s="2429"/>
      <c r="E36" s="2429"/>
      <c r="F36" s="1815"/>
    </row>
    <row r="37" spans="2:6" hidden="1">
      <c r="B37" s="1717"/>
      <c r="C37" s="1735" t="s">
        <v>2614</v>
      </c>
      <c r="D37" s="2430"/>
      <c r="E37" s="2430"/>
      <c r="F37" s="1820"/>
    </row>
    <row r="38" spans="2:6">
      <c r="B38" s="1717"/>
      <c r="C38" s="1735" t="s">
        <v>2615</v>
      </c>
      <c r="D38" s="2430"/>
      <c r="E38" s="2430"/>
      <c r="F38" s="1820"/>
    </row>
    <row r="39" spans="2:6">
      <c r="B39" s="1717"/>
      <c r="C39" s="1752" t="s">
        <v>2616</v>
      </c>
      <c r="D39" s="2431"/>
      <c r="E39" s="2431"/>
      <c r="F39" s="1839"/>
    </row>
    <row r="40" spans="2:6">
      <c r="B40" s="1726"/>
      <c r="C40" s="1758" t="s">
        <v>299</v>
      </c>
      <c r="D40" s="1759"/>
      <c r="E40" s="1759"/>
      <c r="F40" s="1730"/>
    </row>
    <row r="41" spans="2:6">
      <c r="B41" s="1717"/>
      <c r="C41" s="1785" t="s">
        <v>2612</v>
      </c>
      <c r="D41" s="2432"/>
      <c r="E41" s="2432"/>
      <c r="F41" s="2433"/>
    </row>
    <row r="42" spans="2:6">
      <c r="B42" s="1717"/>
      <c r="C42" s="1735" t="s">
        <v>2615</v>
      </c>
      <c r="D42" s="2434"/>
      <c r="E42" s="2434"/>
      <c r="F42" s="1829"/>
    </row>
    <row r="43" spans="2:6">
      <c r="B43" s="1717"/>
      <c r="C43" s="1752" t="s">
        <v>2616</v>
      </c>
      <c r="D43" s="2435"/>
      <c r="E43" s="2435"/>
      <c r="F43" s="1831"/>
    </row>
    <row r="44" spans="2:6" ht="29.25" customHeight="1">
      <c r="B44" s="1770"/>
      <c r="C44" s="1714" t="s">
        <v>650</v>
      </c>
      <c r="D44" s="1810"/>
      <c r="E44" s="1833"/>
      <c r="F44" s="1806"/>
    </row>
    <row r="45" spans="2:6" ht="15">
      <c r="B45" s="1711"/>
      <c r="C45" s="1758" t="s">
        <v>331</v>
      </c>
      <c r="D45" s="1728"/>
      <c r="E45" s="1771"/>
      <c r="F45" s="1772"/>
    </row>
    <row r="46" spans="2:6" ht="29.25" customHeight="1">
      <c r="B46" s="1717"/>
      <c r="C46" s="1709" t="s">
        <v>537</v>
      </c>
      <c r="D46" s="1809">
        <v>30</v>
      </c>
      <c r="E46" s="1809">
        <v>20</v>
      </c>
      <c r="F46" s="1719" t="s">
        <v>2625</v>
      </c>
    </row>
    <row r="47" spans="2:6" ht="29.25" customHeight="1">
      <c r="B47" s="1717"/>
      <c r="C47" s="1731" t="s">
        <v>193</v>
      </c>
      <c r="D47" s="1773" t="s">
        <v>194</v>
      </c>
      <c r="E47" s="1834">
        <v>-15</v>
      </c>
      <c r="F47" s="1787" t="s">
        <v>2625</v>
      </c>
    </row>
    <row r="48" spans="2:6" ht="18.75" customHeight="1">
      <c r="B48" s="2428"/>
      <c r="C48" s="1835" t="s">
        <v>654</v>
      </c>
      <c r="D48" s="1775" t="s">
        <v>1121</v>
      </c>
      <c r="E48" s="1836"/>
      <c r="F48" s="1820"/>
    </row>
    <row r="49" spans="2:6" ht="18.75" customHeight="1">
      <c r="B49" s="1717"/>
      <c r="C49" s="1835"/>
      <c r="D49" s="1778" t="s">
        <v>1122</v>
      </c>
      <c r="E49" s="1837"/>
      <c r="F49" s="1820"/>
    </row>
    <row r="50" spans="2:6" ht="18.75" customHeight="1">
      <c r="B50" s="1717"/>
      <c r="C50" s="1835"/>
      <c r="D50" s="1779" t="s">
        <v>1123</v>
      </c>
      <c r="E50" s="1836"/>
      <c r="F50" s="1820"/>
    </row>
    <row r="51" spans="2:6" ht="18.75" customHeight="1">
      <c r="B51" s="1717"/>
      <c r="C51" s="1770"/>
      <c r="D51" s="1782" t="s">
        <v>1124</v>
      </c>
      <c r="E51" s="1838"/>
      <c r="F51" s="1839"/>
    </row>
    <row r="52" spans="2:6" ht="30.75" customHeight="1">
      <c r="B52" s="3601" t="s">
        <v>653</v>
      </c>
      <c r="C52" s="1835" t="s">
        <v>544</v>
      </c>
      <c r="D52" s="1786" t="s">
        <v>543</v>
      </c>
      <c r="E52" s="1837">
        <v>-25</v>
      </c>
      <c r="F52" s="1787" t="s">
        <v>2625</v>
      </c>
    </row>
    <row r="53" spans="2:6" ht="29.25" customHeight="1">
      <c r="B53" s="3601"/>
      <c r="C53" s="1740" t="s">
        <v>654</v>
      </c>
      <c r="D53" s="1788" t="s">
        <v>2219</v>
      </c>
      <c r="E53" s="1836"/>
      <c r="F53" s="1820"/>
    </row>
    <row r="54" spans="2:6" ht="29.25" customHeight="1">
      <c r="B54" s="3601"/>
      <c r="C54" s="1717"/>
      <c r="D54" s="1788" t="s">
        <v>793</v>
      </c>
      <c r="E54" s="1836"/>
      <c r="F54" s="1820"/>
    </row>
    <row r="55" spans="2:6" ht="24" customHeight="1">
      <c r="B55" s="3601"/>
      <c r="C55" s="1717"/>
      <c r="D55" s="1788" t="s">
        <v>794</v>
      </c>
      <c r="E55" s="1836"/>
      <c r="F55" s="1820"/>
    </row>
    <row r="56" spans="2:6" ht="29.25" customHeight="1">
      <c r="B56" s="3601"/>
      <c r="C56" s="1717"/>
      <c r="D56" s="1788" t="s">
        <v>795</v>
      </c>
      <c r="E56" s="1836"/>
      <c r="F56" s="1820"/>
    </row>
    <row r="57" spans="2:6" ht="30" hidden="1" customHeight="1">
      <c r="B57" s="1717"/>
      <c r="C57" s="1770"/>
      <c r="D57" s="1790"/>
      <c r="E57" s="1836" t="e">
        <f>E80</f>
        <v>#DIV/0!</v>
      </c>
      <c r="F57" s="1820" t="s">
        <v>2625</v>
      </c>
    </row>
    <row r="58" spans="2:6" ht="42.75" customHeight="1">
      <c r="B58" s="1754"/>
      <c r="C58" s="1714" t="s">
        <v>1125</v>
      </c>
      <c r="D58" s="1810" t="s">
        <v>796</v>
      </c>
      <c r="E58" s="1810" t="s">
        <v>796</v>
      </c>
      <c r="F58" s="1806"/>
    </row>
    <row r="59" spans="2:6" ht="18.75" customHeight="1">
      <c r="B59" s="1754"/>
      <c r="C59" s="1755" t="s">
        <v>441</v>
      </c>
      <c r="D59" s="1840" t="s">
        <v>797</v>
      </c>
      <c r="E59" s="1840" t="s">
        <v>797</v>
      </c>
      <c r="F59" s="1841" t="s">
        <v>2862</v>
      </c>
    </row>
    <row r="60" spans="2:6" ht="15">
      <c r="B60" s="1754"/>
      <c r="C60" s="1793" t="s">
        <v>1027</v>
      </c>
      <c r="D60" s="1759"/>
      <c r="E60" s="1759"/>
      <c r="F60" s="1772"/>
    </row>
    <row r="61" spans="2:6" ht="15">
      <c r="B61" s="1754"/>
      <c r="C61" s="1794" t="s">
        <v>2749</v>
      </c>
      <c r="D61" s="1842" t="s">
        <v>798</v>
      </c>
      <c r="E61" s="1842" t="s">
        <v>652</v>
      </c>
      <c r="F61" s="1819" t="s">
        <v>180</v>
      </c>
    </row>
    <row r="62" spans="2:6" ht="14">
      <c r="B62" s="1754"/>
      <c r="C62" s="1794" t="s">
        <v>2750</v>
      </c>
      <c r="D62" s="1843" t="s">
        <v>798</v>
      </c>
      <c r="E62" s="1843" t="s">
        <v>652</v>
      </c>
      <c r="F62" s="1820" t="s">
        <v>182</v>
      </c>
    </row>
    <row r="63" spans="2:6" ht="15">
      <c r="B63" s="1754"/>
      <c r="C63" s="1797" t="s">
        <v>2687</v>
      </c>
      <c r="D63" s="1843" t="s">
        <v>798</v>
      </c>
      <c r="E63" s="1843" t="s">
        <v>652</v>
      </c>
      <c r="F63" s="1820" t="s">
        <v>3495</v>
      </c>
    </row>
    <row r="64" spans="2:6" ht="14">
      <c r="B64" s="1754"/>
      <c r="C64" s="1797" t="s">
        <v>181</v>
      </c>
      <c r="D64" s="1843" t="s">
        <v>799</v>
      </c>
      <c r="E64" s="1843" t="s">
        <v>652</v>
      </c>
      <c r="F64" s="1820" t="s">
        <v>182</v>
      </c>
    </row>
    <row r="65" spans="2:6" ht="24">
      <c r="B65" s="1754"/>
      <c r="C65" s="1844" t="s">
        <v>2681</v>
      </c>
      <c r="D65" s="1845" t="s">
        <v>313</v>
      </c>
      <c r="E65" s="1845" t="s">
        <v>652</v>
      </c>
      <c r="F65" s="1839" t="s">
        <v>182</v>
      </c>
    </row>
    <row r="66" spans="2:6">
      <c r="B66" s="1717"/>
      <c r="C66" s="1802" t="s">
        <v>2682</v>
      </c>
      <c r="D66" s="1803"/>
      <c r="E66" s="1803"/>
      <c r="F66" s="1804"/>
    </row>
    <row r="67" spans="2:6">
      <c r="B67" s="1717"/>
      <c r="C67" s="1760"/>
      <c r="D67" s="1803"/>
      <c r="E67" s="1803"/>
      <c r="F67" s="1804"/>
    </row>
    <row r="68" spans="2:6">
      <c r="B68" s="3603" t="s">
        <v>365</v>
      </c>
      <c r="C68" s="3598"/>
      <c r="D68" s="3598"/>
      <c r="E68" s="3598"/>
      <c r="F68" s="3598"/>
    </row>
    <row r="69" spans="2:6">
      <c r="B69" s="3603"/>
      <c r="C69" s="3599"/>
      <c r="D69" s="3599"/>
      <c r="E69" s="3599"/>
      <c r="F69" s="3599"/>
    </row>
    <row r="70" spans="2:6">
      <c r="B70" s="3603"/>
      <c r="C70" s="3599"/>
      <c r="D70" s="3599"/>
      <c r="E70" s="3599"/>
      <c r="F70" s="3599"/>
    </row>
    <row r="71" spans="2:6">
      <c r="B71" s="3603"/>
      <c r="C71" s="3600"/>
      <c r="D71" s="3600"/>
      <c r="E71" s="3600"/>
      <c r="F71" s="3600"/>
    </row>
    <row r="72" spans="2:6"/>
    <row r="73" spans="2:6">
      <c r="B73" t="s">
        <v>696</v>
      </c>
    </row>
    <row r="74" spans="2:6">
      <c r="B74" s="1711"/>
      <c r="C74" s="1727" t="s">
        <v>724</v>
      </c>
      <c r="D74" s="1728"/>
      <c r="E74" s="1729"/>
      <c r="F74" s="1743"/>
    </row>
    <row r="75" spans="2:6">
      <c r="B75" s="1717"/>
      <c r="C75" s="1740" t="s">
        <v>723</v>
      </c>
      <c r="D75" s="1736" t="s">
        <v>800</v>
      </c>
      <c r="E75" s="1846">
        <f>(計画書!J84+計画書!K84+計画書!L84)/CO2データ!$J$96*1000</f>
        <v>0</v>
      </c>
      <c r="F75" s="1739" t="s">
        <v>801</v>
      </c>
    </row>
    <row r="76" spans="2:6">
      <c r="B76" s="1717" t="s">
        <v>728</v>
      </c>
      <c r="C76" s="1717"/>
      <c r="D76" s="1736" t="s">
        <v>802</v>
      </c>
      <c r="E76" s="1846">
        <f>(計画書!J85+計画書!K85+計画書!L85)/CO2データ!$J$96*1000</f>
        <v>0</v>
      </c>
      <c r="F76" s="1739" t="s">
        <v>803</v>
      </c>
    </row>
    <row r="77" spans="2:6">
      <c r="B77" s="1717" t="s">
        <v>804</v>
      </c>
      <c r="C77" s="1731"/>
      <c r="D77" s="1736" t="s">
        <v>805</v>
      </c>
      <c r="E77" s="1846">
        <f>E75-E76</f>
        <v>0</v>
      </c>
      <c r="F77" s="1739" t="s">
        <v>803</v>
      </c>
    </row>
    <row r="78" spans="2:6" ht="15">
      <c r="B78" s="1717"/>
      <c r="C78" s="1740" t="s">
        <v>2287</v>
      </c>
      <c r="D78" s="1736" t="s">
        <v>2101</v>
      </c>
      <c r="E78" s="1737" t="e">
        <f>E75*E81/E$6</f>
        <v>#DIV/0!</v>
      </c>
      <c r="F78" s="1847" t="s">
        <v>2625</v>
      </c>
    </row>
    <row r="79" spans="2:6" ht="15">
      <c r="B79" s="1717"/>
      <c r="C79" s="1717"/>
      <c r="D79" s="1736" t="s">
        <v>802</v>
      </c>
      <c r="E79" s="1737" t="e">
        <f>E78-E80</f>
        <v>#DIV/0!</v>
      </c>
      <c r="F79" s="1847" t="s">
        <v>2625</v>
      </c>
    </row>
    <row r="80" spans="2:6" ht="15">
      <c r="B80" s="1717"/>
      <c r="C80" s="1731"/>
      <c r="D80" s="1736" t="s">
        <v>805</v>
      </c>
      <c r="E80" s="1737" t="e">
        <f>E77*E82/E$6</f>
        <v>#DIV/0!</v>
      </c>
      <c r="F80" s="1847" t="s">
        <v>2625</v>
      </c>
    </row>
    <row r="81" spans="2:6" ht="15" hidden="1">
      <c r="B81" s="1717"/>
      <c r="C81" s="1740" t="s">
        <v>2288</v>
      </c>
      <c r="D81" s="1736" t="s">
        <v>2102</v>
      </c>
      <c r="E81" s="1848">
        <f>CO2データ!I95</f>
        <v>0.505</v>
      </c>
      <c r="F81" s="1847" t="s">
        <v>1079</v>
      </c>
    </row>
    <row r="82" spans="2:6" ht="15" hidden="1">
      <c r="B82" s="1717"/>
      <c r="C82" s="1717"/>
      <c r="D82" s="1736" t="s">
        <v>1080</v>
      </c>
      <c r="E82" s="1848">
        <f>CO2データ!I95</f>
        <v>0.505</v>
      </c>
      <c r="F82" s="1847" t="s">
        <v>1079</v>
      </c>
    </row>
    <row r="83" spans="2:6" hidden="1">
      <c r="B83" s="1717"/>
      <c r="C83" s="1731"/>
      <c r="D83" s="1736" t="s">
        <v>1325</v>
      </c>
      <c r="E83" s="1737" t="s">
        <v>1182</v>
      </c>
      <c r="F83" s="1739"/>
    </row>
    <row r="84" spans="2:6">
      <c r="B84" s="1717"/>
      <c r="C84" s="1727" t="s">
        <v>1183</v>
      </c>
      <c r="D84" s="1728"/>
      <c r="E84" s="1729"/>
      <c r="F84" s="1743"/>
    </row>
    <row r="85" spans="2:6">
      <c r="B85" s="1717"/>
      <c r="C85" s="1849" t="s">
        <v>2132</v>
      </c>
      <c r="D85" s="1732"/>
      <c r="E85" s="1850" t="e">
        <f>(CO2計算!I125*計画書!T96+CO2計算!I127*CO2データ!N208+CO2計算!I126*CO2データ!N207)/CO2データ!J96*1000</f>
        <v>#VALUE!</v>
      </c>
      <c r="F85" s="1738" t="s">
        <v>801</v>
      </c>
    </row>
    <row r="86" spans="2:6" ht="15">
      <c r="B86" s="1717"/>
      <c r="C86" s="1740" t="s">
        <v>1763</v>
      </c>
      <c r="D86" s="1736" t="s">
        <v>1184</v>
      </c>
      <c r="E86" s="1848">
        <f>係数!D5*1000</f>
        <v>0.505</v>
      </c>
      <c r="F86" s="1847" t="s">
        <v>2133</v>
      </c>
    </row>
    <row r="87" spans="2:6" ht="15">
      <c r="B87" s="1717"/>
      <c r="C87" s="1731"/>
      <c r="D87" s="1736" t="s">
        <v>1093</v>
      </c>
      <c r="E87" s="1848">
        <f>係数!J89*1000</f>
        <v>0.496</v>
      </c>
      <c r="F87" s="1847" t="s">
        <v>1079</v>
      </c>
    </row>
    <row r="88" spans="2:6" ht="15">
      <c r="B88" s="1717"/>
      <c r="C88" s="1740" t="s">
        <v>2134</v>
      </c>
      <c r="D88" s="1851" t="s">
        <v>2582</v>
      </c>
      <c r="E88" s="1852" t="e">
        <f>E85*(E86-E87)</f>
        <v>#VALUE!</v>
      </c>
      <c r="F88" s="1847" t="s">
        <v>442</v>
      </c>
    </row>
    <row r="89" spans="2:6" ht="15">
      <c r="B89" s="1770"/>
      <c r="C89" s="1770"/>
      <c r="D89" s="1853" t="s">
        <v>1185</v>
      </c>
      <c r="E89" s="1854" t="e">
        <f>E88/E6</f>
        <v>#VALUE!</v>
      </c>
      <c r="F89" s="1801" t="s">
        <v>2625</v>
      </c>
    </row>
    <row r="90" spans="2:6"/>
    <row r="91" spans="2:6" hidden="1"/>
    <row r="92" spans="2:6" hidden="1"/>
    <row r="93" spans="2:6" hidden="1"/>
    <row r="94" spans="2:6" hidden="1"/>
    <row r="95" spans="2:6" hidden="1"/>
    <row r="96" spans="2: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sheetData>
  <sheetProtection algorithmName="SHA-512" hashValue="Qo2lEsDy7n8UUA9Q9DmWjnw6AZ5PccKFs8a3ACMAM53rFoX9i8GZkQ34V/ur6oBsHeTZ19i2oYe1CkoPJbccOQ==" saltValue="X03qN162VMcNTDf4Npi0aw==" spinCount="100000" sheet="1" objects="1" scenarios="1"/>
  <mergeCells count="8">
    <mergeCell ref="D68:D71"/>
    <mergeCell ref="E68:E71"/>
    <mergeCell ref="F68:F71"/>
    <mergeCell ref="B4:C4"/>
    <mergeCell ref="B10:B33"/>
    <mergeCell ref="B68:B71"/>
    <mergeCell ref="C68:C71"/>
    <mergeCell ref="B52:B56"/>
  </mergeCells>
  <phoneticPr fontId="22"/>
  <printOptions horizontalCentered="1"/>
  <pageMargins left="0.59055118110236227" right="0.59055118110236227" top="0.78740157480314965" bottom="0.59055118110236227" header="0.51181102362204722" footer="0.51181102362204722"/>
  <pageSetup paperSize="9" scale="86" fitToHeight="0" orientation="portrait" verticalDpi="300" r:id="rId1"/>
  <headerFooter alignWithMargins="0">
    <oddHeader>&amp;L&amp;F&amp;R&amp;A</oddHeader>
    <oddFooter>&amp;C&amp;P/&amp;N</oddFooter>
  </headerFooter>
  <rowBreaks count="1" manualBreakCount="1">
    <brk id="44" max="5"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SR234"/>
  <sheetViews>
    <sheetView showGridLines="0" view="pageBreakPreview" zoomScaleNormal="100" zoomScaleSheetLayoutView="100" workbookViewId="0">
      <selection activeCell="H15" sqref="H15"/>
    </sheetView>
  </sheetViews>
  <sheetFormatPr defaultColWidth="0" defaultRowHeight="13" zeroHeight="1"/>
  <cols>
    <col min="1" max="1" width="1.26953125" customWidth="1"/>
    <col min="2" max="2" width="7.26953125" style="1855" customWidth="1"/>
    <col min="3" max="3" width="37" style="1856" customWidth="1"/>
    <col min="4" max="4" width="8.90625" style="1857" bestFit="1" customWidth="1"/>
    <col min="5" max="5" width="8.90625" style="1858" bestFit="1" customWidth="1"/>
    <col min="6" max="6" width="1.6328125" customWidth="1"/>
    <col min="7" max="14" width="7.90625" style="1858" customWidth="1"/>
    <col min="15" max="15" width="2.6328125" customWidth="1"/>
    <col min="16" max="16" width="5.90625" style="1859" customWidth="1"/>
    <col min="17" max="17" width="7.90625" style="1859" customWidth="1"/>
    <col min="18" max="18" width="37.26953125" style="1860" customWidth="1"/>
    <col min="19" max="30" width="6.6328125" style="1861" customWidth="1"/>
    <col min="31" max="31" width="8.90625" style="1861" bestFit="1" customWidth="1"/>
    <col min="32" max="32" width="9.08984375" customWidth="1"/>
    <col min="33" max="33" width="10.453125" style="1862" hidden="1" customWidth="1"/>
    <col min="34" max="34" width="6.90625" style="132" hidden="1" customWidth="1"/>
    <col min="35" max="35" width="40.6328125" style="1863" hidden="1" customWidth="1"/>
    <col min="36" max="36" width="6.36328125" style="132" hidden="1" customWidth="1"/>
    <col min="37" max="37" width="5.6328125" style="132" hidden="1" customWidth="1"/>
    <col min="38" max="39" width="6.36328125" style="132" hidden="1" customWidth="1"/>
    <col min="40" max="40" width="5.6328125" style="132" hidden="1" customWidth="1"/>
    <col min="41" max="41" width="6.08984375" style="132" hidden="1" customWidth="1"/>
    <col min="42" max="42" width="8" style="132" hidden="1" customWidth="1"/>
    <col min="43" max="43" width="6.36328125" style="132" hidden="1" customWidth="1"/>
    <col min="44" max="44" width="6" style="132" hidden="1" customWidth="1"/>
    <col min="45" max="45" width="6.36328125" style="132" hidden="1" customWidth="1"/>
    <col min="46" max="46" width="5.6328125" style="132" hidden="1" customWidth="1"/>
    <col min="47" max="47" width="7" style="132" hidden="1" customWidth="1"/>
    <col min="48" max="48" width="8.90625" style="132" hidden="1" customWidth="1"/>
    <col min="49" max="49" width="1.36328125" hidden="1" customWidth="1"/>
    <col min="50" max="50" width="15.7265625" style="1862" hidden="1" customWidth="1"/>
    <col min="51" max="51" width="6.90625" style="132" hidden="1" customWidth="1"/>
    <col min="52" max="52" width="40.6328125" style="1863" hidden="1" customWidth="1"/>
    <col min="53" max="53" width="6.36328125" style="132" hidden="1" customWidth="1"/>
    <col min="54" max="54" width="5" style="132" hidden="1" customWidth="1"/>
    <col min="55" max="56" width="6.36328125" style="132" hidden="1" customWidth="1"/>
    <col min="57" max="57" width="5" style="132" hidden="1" customWidth="1"/>
    <col min="58" max="58" width="6.08984375" style="132" hidden="1" customWidth="1"/>
    <col min="59" max="59" width="8" style="132" hidden="1" customWidth="1"/>
    <col min="60" max="60" width="6.36328125" style="132" hidden="1" customWidth="1"/>
    <col min="61" max="61" width="6" style="132" hidden="1" customWidth="1"/>
    <col min="62" max="62" width="6.36328125" style="132" hidden="1" customWidth="1"/>
    <col min="63" max="63" width="5.6328125" style="132" hidden="1" customWidth="1"/>
    <col min="64" max="64" width="7" style="132" hidden="1" customWidth="1"/>
    <col min="65" max="65" width="8.90625" style="132" hidden="1" customWidth="1"/>
    <col min="66" max="66" width="1.36328125" hidden="1" customWidth="1"/>
    <col min="67" max="67" width="22.90625" style="1862" hidden="1" customWidth="1"/>
    <col min="68" max="68" width="6.90625" style="132" hidden="1" customWidth="1"/>
    <col min="69" max="69" width="40.6328125" style="1863" hidden="1" customWidth="1"/>
    <col min="70" max="70" width="6.36328125" style="132" hidden="1" customWidth="1"/>
    <col min="71" max="71" width="5.6328125" style="132" hidden="1" customWidth="1"/>
    <col min="72" max="73" width="6.36328125" style="132" hidden="1" customWidth="1"/>
    <col min="74" max="74" width="5.6328125" style="132" hidden="1" customWidth="1"/>
    <col min="75" max="75" width="6.08984375" style="132" hidden="1" customWidth="1"/>
    <col min="76" max="76" width="8" style="132" hidden="1" customWidth="1"/>
    <col min="77" max="77" width="6.36328125" style="132" hidden="1" customWidth="1"/>
    <col min="78" max="78" width="6" style="132" hidden="1" customWidth="1"/>
    <col min="79" max="79" width="6.36328125" style="132" hidden="1" customWidth="1"/>
    <col min="80" max="80" width="5.6328125" style="132" hidden="1" customWidth="1"/>
    <col min="81" max="81" width="7" style="132" hidden="1" customWidth="1"/>
    <col min="82" max="82" width="8.90625" style="132" hidden="1" customWidth="1"/>
    <col min="83" max="83" width="1.90625" style="1360" hidden="1" customWidth="1"/>
    <col min="84" max="84" width="4.453125" hidden="1" customWidth="1"/>
    <col min="85" max="85" width="15.7265625" style="1360" hidden="1" customWidth="1"/>
    <col min="86" max="86" width="6.90625" style="1360" hidden="1" customWidth="1"/>
    <col min="87" max="87" width="40.6328125" style="1360" hidden="1" customWidth="1"/>
    <col min="88" max="88" width="6.36328125" style="1360" hidden="1" customWidth="1"/>
    <col min="89" max="89" width="5" style="1360" hidden="1" customWidth="1"/>
    <col min="90" max="91" width="6.36328125" style="1360" hidden="1" customWidth="1"/>
    <col min="92" max="92" width="5" style="1360" hidden="1" customWidth="1"/>
    <col min="93" max="93" width="6.08984375" style="1360" hidden="1" customWidth="1"/>
    <col min="94" max="94" width="8" style="1360" hidden="1" customWidth="1"/>
    <col min="95" max="95" width="6.36328125" style="1360" hidden="1" customWidth="1"/>
    <col min="96" max="96" width="5" style="1360" hidden="1" customWidth="1"/>
    <col min="97" max="97" width="6.36328125" style="1360" hidden="1" customWidth="1"/>
    <col min="98" max="98" width="5.6328125" style="1360" hidden="1" customWidth="1"/>
    <col min="99" max="99" width="7" style="1360" hidden="1" customWidth="1"/>
    <col min="100" max="100" width="8.90625" style="1360" hidden="1" customWidth="1"/>
    <col min="101" max="101" width="7.08984375" hidden="1" customWidth="1"/>
    <col min="102" max="102" width="20.6328125" hidden="1" customWidth="1"/>
    <col min="103" max="103" width="6.90625" hidden="1" customWidth="1"/>
    <col min="104" max="104" width="32.90625" hidden="1" customWidth="1"/>
    <col min="105" max="105" width="6.36328125" hidden="1" customWidth="1"/>
    <col min="106" max="106" width="4.7265625" hidden="1" customWidth="1"/>
    <col min="107" max="108" width="6.36328125" hidden="1" customWidth="1"/>
    <col min="109" max="109" width="4.7265625" hidden="1" customWidth="1"/>
    <col min="110" max="110" width="6.08984375" hidden="1" customWidth="1"/>
    <col min="111" max="111" width="8" hidden="1" customWidth="1"/>
    <col min="112" max="112" width="6.36328125" hidden="1" customWidth="1"/>
    <col min="113" max="113" width="4.7265625" hidden="1" customWidth="1"/>
    <col min="114" max="114" width="6.36328125" hidden="1" customWidth="1"/>
    <col min="115" max="115" width="5.6328125" hidden="1" customWidth="1"/>
    <col min="116" max="116" width="7" hidden="1" customWidth="1"/>
    <col min="117" max="117" width="8.90625" hidden="1" customWidth="1"/>
    <col min="118" max="512" width="9" hidden="1" customWidth="1"/>
    <col min="513" max="16384" width="8.7265625" hidden="1"/>
  </cols>
  <sheetData>
    <row r="1" spans="2:117"/>
    <row r="2" spans="2:117" ht="16.5">
      <c r="B2" s="1864" t="s">
        <v>1186</v>
      </c>
      <c r="C2" s="1865"/>
      <c r="D2" s="1866"/>
      <c r="E2" s="1867"/>
      <c r="G2" s="1867"/>
      <c r="H2" s="1867"/>
      <c r="I2" s="1868"/>
      <c r="J2" s="1868"/>
      <c r="K2" s="1867"/>
      <c r="L2" s="1867"/>
      <c r="M2" s="1867"/>
      <c r="N2" s="1867"/>
      <c r="P2" s="1869" t="s">
        <v>1187</v>
      </c>
      <c r="Q2" s="1870"/>
      <c r="R2" s="1871"/>
      <c r="S2" s="1872"/>
      <c r="T2" s="1873"/>
      <c r="U2" s="1873"/>
      <c r="V2" s="1873"/>
      <c r="W2" s="1873"/>
      <c r="X2" s="1873"/>
      <c r="Y2" s="1873"/>
      <c r="Z2" s="1873"/>
      <c r="AA2" s="1873"/>
      <c r="AB2" s="1873"/>
      <c r="AC2" s="1873"/>
      <c r="AD2" s="1873"/>
      <c r="AE2" s="1873"/>
      <c r="AG2" s="1874"/>
      <c r="AH2" s="1872"/>
      <c r="AI2" s="1875"/>
      <c r="AJ2" s="1872"/>
      <c r="AK2" s="1872"/>
      <c r="AL2" s="1872"/>
      <c r="AM2" s="1872"/>
      <c r="AN2" s="1872"/>
      <c r="AO2" s="1872"/>
      <c r="AP2" s="1872"/>
      <c r="AQ2" s="1872"/>
      <c r="AR2" s="1872"/>
      <c r="AS2" s="1872"/>
      <c r="AT2" s="1872"/>
      <c r="AU2" s="1872"/>
      <c r="AV2" s="1872"/>
      <c r="AX2" s="1874"/>
      <c r="AY2" s="1872"/>
      <c r="AZ2" s="1875"/>
      <c r="BA2" s="1872"/>
      <c r="BB2" s="1872"/>
      <c r="BC2" s="1872"/>
      <c r="BD2" s="1872"/>
      <c r="BE2" s="1872"/>
      <c r="BF2" s="1872"/>
      <c r="BG2" s="1872"/>
      <c r="BH2" s="1872"/>
      <c r="BI2" s="1872"/>
      <c r="BJ2" s="1872"/>
      <c r="BK2" s="1872"/>
      <c r="BL2" s="1872"/>
      <c r="BM2" s="1872"/>
      <c r="BO2" s="1874"/>
      <c r="BP2" s="1872"/>
      <c r="BQ2" s="1875"/>
      <c r="BR2" s="1872"/>
      <c r="BS2" s="1872"/>
      <c r="BT2" s="1872"/>
      <c r="BU2" s="1872"/>
      <c r="BV2" s="1872"/>
      <c r="BW2" s="1872"/>
      <c r="BX2" s="1872"/>
      <c r="BY2" s="1872"/>
      <c r="BZ2" s="1872"/>
      <c r="CA2" s="1872"/>
      <c r="CB2" s="1872"/>
      <c r="CC2" s="1872"/>
      <c r="CD2" s="1872"/>
      <c r="CE2" s="1876"/>
      <c r="CG2" s="1876"/>
      <c r="CH2" s="1876"/>
      <c r="CI2" s="1876"/>
      <c r="CJ2" s="1876"/>
      <c r="CK2" s="1876"/>
      <c r="CL2" s="1876"/>
      <c r="CM2" s="1876"/>
      <c r="CN2" s="1876"/>
      <c r="CO2" s="1876"/>
      <c r="CP2" s="1876"/>
      <c r="CQ2" s="1876"/>
      <c r="CR2" s="1876"/>
      <c r="CS2" s="1876"/>
      <c r="CT2" s="1876"/>
      <c r="CU2" s="1876"/>
      <c r="CV2" s="1876"/>
    </row>
    <row r="3" spans="2:117" ht="16.5">
      <c r="B3" s="1864"/>
      <c r="C3" s="1865"/>
      <c r="D3" s="1866"/>
      <c r="E3" s="1867"/>
      <c r="G3" s="1867"/>
      <c r="H3" s="1867"/>
      <c r="I3" s="1868"/>
      <c r="J3" s="1868"/>
      <c r="K3" s="1867"/>
      <c r="L3" s="1867"/>
      <c r="M3" s="1867"/>
      <c r="N3" s="1867"/>
      <c r="P3" s="2690">
        <f>メイン!I3</f>
        <v>2</v>
      </c>
      <c r="Q3" s="2690" t="str">
        <f>LEFT(メイン!C5,6)</f>
        <v>CASBEE</v>
      </c>
      <c r="R3" s="2690" t="str">
        <f>メイン!J3</f>
        <v>NC</v>
      </c>
      <c r="S3" s="1878"/>
      <c r="T3" s="1873"/>
      <c r="U3" s="1873"/>
      <c r="V3" s="1873"/>
      <c r="W3" s="1873"/>
      <c r="X3" s="1873"/>
      <c r="Y3" s="1873"/>
      <c r="Z3" s="1873"/>
      <c r="AA3" s="1873"/>
      <c r="AB3" s="1873"/>
      <c r="AC3" s="1873"/>
      <c r="AD3" s="1873"/>
      <c r="AE3" s="1873"/>
      <c r="AG3" s="1877" t="s">
        <v>1188</v>
      </c>
      <c r="AH3" s="1872"/>
      <c r="AI3" s="1879"/>
      <c r="AJ3" s="1873"/>
      <c r="AK3" s="1873"/>
      <c r="AL3" s="1873"/>
      <c r="AM3" s="1873"/>
      <c r="AN3" s="1873"/>
      <c r="AO3" s="1873"/>
      <c r="AP3" s="1873"/>
      <c r="AQ3" s="1873"/>
      <c r="AR3" s="1873"/>
      <c r="AS3" s="1873"/>
      <c r="AT3" s="1873"/>
      <c r="AU3" s="1873"/>
      <c r="AV3" s="1873"/>
      <c r="AX3" s="1877" t="s">
        <v>1189</v>
      </c>
      <c r="AY3" s="1872"/>
      <c r="AZ3" s="1879"/>
      <c r="BA3" s="1873"/>
      <c r="BB3" s="1873"/>
      <c r="BC3" s="1873"/>
      <c r="BD3" s="1873"/>
      <c r="BE3" s="1873"/>
      <c r="BF3" s="1873"/>
      <c r="BG3" s="1873"/>
      <c r="BH3" s="1873"/>
      <c r="BI3" s="1873"/>
      <c r="BJ3" s="1873"/>
      <c r="BK3" s="1873"/>
      <c r="BL3" s="1873"/>
      <c r="BM3" s="1873"/>
      <c r="BO3" s="1877" t="s">
        <v>1190</v>
      </c>
      <c r="BP3" s="1872"/>
      <c r="BQ3" s="1879"/>
      <c r="BR3" s="1873"/>
      <c r="BS3" s="1873"/>
      <c r="BT3" s="1873"/>
      <c r="BU3" s="1873"/>
      <c r="BV3" s="1873"/>
      <c r="BW3" s="1873"/>
      <c r="BX3" s="1873"/>
      <c r="BY3" s="1873"/>
      <c r="BZ3" s="1873"/>
      <c r="CA3" s="1873"/>
      <c r="CB3" s="1873"/>
      <c r="CC3" s="1873"/>
      <c r="CD3" s="1873"/>
      <c r="CE3" s="1873"/>
      <c r="CG3" s="1877" t="s">
        <v>3308</v>
      </c>
      <c r="CH3" s="1872"/>
      <c r="CI3" s="1879"/>
      <c r="CJ3" s="1873"/>
      <c r="CK3" s="1873"/>
      <c r="CL3" s="1873"/>
      <c r="CM3" s="1873"/>
      <c r="CN3" s="1873"/>
      <c r="CO3" s="1873"/>
      <c r="CP3" s="1873"/>
      <c r="CQ3" s="1873"/>
      <c r="CR3" s="1873"/>
      <c r="CS3" s="1873"/>
      <c r="CT3" s="1873"/>
      <c r="CU3" s="1873"/>
      <c r="CV3" s="1873"/>
      <c r="CX3" s="1877" t="s">
        <v>3474</v>
      </c>
      <c r="CY3" s="1872"/>
      <c r="CZ3" s="1879"/>
      <c r="DA3" s="1873"/>
      <c r="DB3" s="1873"/>
      <c r="DC3" s="1873"/>
      <c r="DD3" s="1873"/>
      <c r="DE3" s="1873"/>
      <c r="DF3" s="1873"/>
      <c r="DG3" s="1873"/>
      <c r="DH3" s="1873"/>
      <c r="DI3" s="1873"/>
      <c r="DJ3" s="1873"/>
      <c r="DK3" s="1873"/>
      <c r="DL3" s="1873"/>
      <c r="DM3" s="1873"/>
    </row>
    <row r="4" spans="2:117" ht="4.5" customHeight="1">
      <c r="B4" s="1864"/>
      <c r="C4" s="1865"/>
      <c r="D4" s="1866"/>
      <c r="E4" s="1867"/>
      <c r="G4" s="1867"/>
      <c r="H4" s="1867"/>
      <c r="I4" s="1868"/>
      <c r="J4" s="1868"/>
      <c r="K4" s="1867"/>
      <c r="L4" s="1867"/>
      <c r="M4" s="1867"/>
      <c r="N4" s="1867"/>
      <c r="P4" s="2690"/>
      <c r="Q4" s="2690"/>
      <c r="R4" s="2690"/>
      <c r="S4" s="1873"/>
      <c r="T4" s="1873"/>
      <c r="U4" s="1873"/>
      <c r="V4" s="1873"/>
      <c r="W4" s="1873"/>
      <c r="X4" s="1873"/>
      <c r="Y4" s="1873"/>
      <c r="Z4" s="1873"/>
      <c r="AA4" s="1873"/>
      <c r="AB4" s="1873"/>
      <c r="AC4" s="1873"/>
      <c r="AD4" s="1873"/>
      <c r="AE4" s="1873"/>
      <c r="AG4" s="1877"/>
      <c r="AH4" s="1870"/>
      <c r="AI4" s="1879"/>
      <c r="AJ4" s="1873"/>
      <c r="AK4" s="1873"/>
      <c r="AL4" s="1873"/>
      <c r="AM4" s="1873"/>
      <c r="AN4" s="1873"/>
      <c r="AO4" s="1873"/>
      <c r="AP4" s="1873"/>
      <c r="AQ4" s="1873"/>
      <c r="AR4" s="1873"/>
      <c r="AS4" s="1873"/>
      <c r="AT4" s="1873"/>
      <c r="AU4" s="1873"/>
      <c r="AV4" s="1873"/>
      <c r="AX4" s="1877"/>
      <c r="AY4" s="1870"/>
      <c r="AZ4" s="1879"/>
      <c r="BA4" s="1873"/>
      <c r="BB4" s="1873"/>
      <c r="BC4" s="1873"/>
      <c r="BD4" s="1873"/>
      <c r="BE4" s="1873"/>
      <c r="BF4" s="1873"/>
      <c r="BG4" s="1873"/>
      <c r="BH4" s="1873"/>
      <c r="BI4" s="1873"/>
      <c r="BJ4" s="1873"/>
      <c r="BK4" s="1873"/>
      <c r="BL4" s="1873"/>
      <c r="BM4" s="1873"/>
      <c r="BO4" s="1877"/>
      <c r="BP4" s="1870"/>
      <c r="BQ4" s="1879"/>
      <c r="BR4" s="1873"/>
      <c r="BS4" s="1873"/>
      <c r="BT4" s="1873"/>
      <c r="BU4" s="1873"/>
      <c r="BV4" s="1873"/>
      <c r="BW4" s="1873"/>
      <c r="BX4" s="1873"/>
      <c r="BY4" s="1873"/>
      <c r="BZ4" s="1873"/>
      <c r="CA4" s="1873"/>
      <c r="CB4" s="1873"/>
      <c r="CC4" s="1873"/>
      <c r="CD4" s="1873"/>
      <c r="CE4" s="1873"/>
      <c r="CG4" s="1877"/>
      <c r="CH4" s="1870"/>
      <c r="CI4" s="1879"/>
      <c r="CJ4" s="1873"/>
      <c r="CK4" s="1873"/>
      <c r="CL4" s="1873"/>
      <c r="CM4" s="1873"/>
      <c r="CN4" s="1873"/>
      <c r="CO4" s="1873"/>
      <c r="CP4" s="1873"/>
      <c r="CQ4" s="1873"/>
      <c r="CR4" s="1873"/>
      <c r="CS4" s="1873"/>
      <c r="CT4" s="1873"/>
      <c r="CU4" s="1873"/>
      <c r="CV4" s="1873"/>
      <c r="CX4" s="1877"/>
      <c r="CY4" s="1870"/>
      <c r="CZ4" s="1879"/>
      <c r="DA4" s="1873"/>
      <c r="DB4" s="1873"/>
      <c r="DC4" s="1873"/>
      <c r="DD4" s="1873"/>
      <c r="DE4" s="1873"/>
      <c r="DF4" s="1873"/>
      <c r="DG4" s="1873"/>
      <c r="DH4" s="1873"/>
      <c r="DI4" s="1873"/>
      <c r="DJ4" s="1873"/>
      <c r="DK4" s="1873"/>
      <c r="DL4" s="1873"/>
      <c r="DM4" s="1873"/>
    </row>
    <row r="5" spans="2:117">
      <c r="B5" s="1880"/>
      <c r="C5" s="1881"/>
      <c r="D5" s="1882" t="s">
        <v>1191</v>
      </c>
      <c r="E5" s="1883"/>
      <c r="G5" s="1884" t="s">
        <v>1192</v>
      </c>
      <c r="H5" s="1885"/>
      <c r="I5" s="1886" t="s">
        <v>1193</v>
      </c>
      <c r="J5" s="1887"/>
      <c r="K5" s="1884" t="s">
        <v>1194</v>
      </c>
      <c r="L5" s="1885"/>
      <c r="M5" s="1884" t="s">
        <v>1195</v>
      </c>
      <c r="N5" s="1885"/>
      <c r="P5" s="1888"/>
      <c r="Q5" s="1888"/>
      <c r="R5" s="1889"/>
      <c r="S5" s="3609" t="s">
        <v>933</v>
      </c>
      <c r="T5" s="3609"/>
      <c r="U5" s="3609"/>
      <c r="V5" s="3609"/>
      <c r="W5" s="3609"/>
      <c r="X5" s="3609"/>
      <c r="Y5" s="3609"/>
      <c r="Z5" s="3609"/>
      <c r="AA5" s="3610"/>
      <c r="AB5" s="1890" t="s">
        <v>934</v>
      </c>
      <c r="AC5" s="3609" t="s">
        <v>935</v>
      </c>
      <c r="AD5" s="3609"/>
      <c r="AE5" s="3609"/>
      <c r="AG5" s="1891"/>
      <c r="AH5" s="1888"/>
      <c r="AI5" s="1892"/>
      <c r="AJ5" s="3609" t="s">
        <v>933</v>
      </c>
      <c r="AK5" s="3609"/>
      <c r="AL5" s="3609"/>
      <c r="AM5" s="3609"/>
      <c r="AN5" s="3609"/>
      <c r="AO5" s="3609"/>
      <c r="AP5" s="3609"/>
      <c r="AQ5" s="3609"/>
      <c r="AR5" s="3610"/>
      <c r="AS5" s="1890" t="s">
        <v>934</v>
      </c>
      <c r="AT5" s="3609" t="s">
        <v>935</v>
      </c>
      <c r="AU5" s="3609"/>
      <c r="AV5" s="3609"/>
      <c r="AX5" s="1891"/>
      <c r="AY5" s="1888"/>
      <c r="AZ5" s="1892"/>
      <c r="BA5" s="3609" t="s">
        <v>933</v>
      </c>
      <c r="BB5" s="3609"/>
      <c r="BC5" s="3609"/>
      <c r="BD5" s="3609"/>
      <c r="BE5" s="3609"/>
      <c r="BF5" s="3609"/>
      <c r="BG5" s="3609"/>
      <c r="BH5" s="3609"/>
      <c r="BI5" s="3610"/>
      <c r="BJ5" s="1890" t="s">
        <v>934</v>
      </c>
      <c r="BK5" s="3609" t="s">
        <v>935</v>
      </c>
      <c r="BL5" s="3609"/>
      <c r="BM5" s="3609"/>
      <c r="BO5" s="1891"/>
      <c r="BP5" s="1888"/>
      <c r="BQ5" s="1892"/>
      <c r="BR5" s="3609" t="s">
        <v>933</v>
      </c>
      <c r="BS5" s="3609"/>
      <c r="BT5" s="3609"/>
      <c r="BU5" s="3609"/>
      <c r="BV5" s="3609"/>
      <c r="BW5" s="3609"/>
      <c r="BX5" s="3609"/>
      <c r="BY5" s="3609"/>
      <c r="BZ5" s="3610"/>
      <c r="CA5" s="1890" t="s">
        <v>934</v>
      </c>
      <c r="CB5" s="3609" t="s">
        <v>935</v>
      </c>
      <c r="CC5" s="3609"/>
      <c r="CD5" s="3609"/>
      <c r="CE5" s="2266"/>
      <c r="CG5" s="1891"/>
      <c r="CH5" s="1888"/>
      <c r="CI5" s="1892"/>
      <c r="CJ5" s="3609" t="s">
        <v>933</v>
      </c>
      <c r="CK5" s="3609"/>
      <c r="CL5" s="3609"/>
      <c r="CM5" s="3609"/>
      <c r="CN5" s="3609"/>
      <c r="CO5" s="3609"/>
      <c r="CP5" s="3609"/>
      <c r="CQ5" s="3609"/>
      <c r="CR5" s="3610"/>
      <c r="CS5" s="2686" t="s">
        <v>934</v>
      </c>
      <c r="CT5" s="3609" t="s">
        <v>935</v>
      </c>
      <c r="CU5" s="3609"/>
      <c r="CV5" s="3609"/>
      <c r="CX5" s="1891"/>
      <c r="CY5" s="1888"/>
      <c r="CZ5" s="1892"/>
      <c r="DA5" s="3609" t="s">
        <v>933</v>
      </c>
      <c r="DB5" s="3609"/>
      <c r="DC5" s="3609"/>
      <c r="DD5" s="3609"/>
      <c r="DE5" s="3609"/>
      <c r="DF5" s="3609"/>
      <c r="DG5" s="3609"/>
      <c r="DH5" s="3609"/>
      <c r="DI5" s="3610"/>
      <c r="DJ5" s="2879" t="s">
        <v>934</v>
      </c>
      <c r="DK5" s="3609" t="s">
        <v>935</v>
      </c>
      <c r="DL5" s="3609"/>
      <c r="DM5" s="3609"/>
    </row>
    <row r="6" spans="2:117">
      <c r="B6" s="1893"/>
      <c r="C6" s="1894"/>
      <c r="D6" s="1895" t="s">
        <v>936</v>
      </c>
      <c r="E6" s="1895" t="s">
        <v>937</v>
      </c>
      <c r="G6" s="1895" t="s">
        <v>936</v>
      </c>
      <c r="H6" s="1895" t="s">
        <v>937</v>
      </c>
      <c r="I6" s="1895" t="s">
        <v>936</v>
      </c>
      <c r="J6" s="1895" t="s">
        <v>937</v>
      </c>
      <c r="K6" s="1895" t="s">
        <v>936</v>
      </c>
      <c r="L6" s="1895" t="s">
        <v>937</v>
      </c>
      <c r="M6" s="1895" t="s">
        <v>936</v>
      </c>
      <c r="N6" s="1895" t="s">
        <v>937</v>
      </c>
      <c r="P6" s="1889"/>
      <c r="Q6" s="1889" t="s">
        <v>2160</v>
      </c>
      <c r="R6" s="1889" t="s">
        <v>938</v>
      </c>
      <c r="S6" s="1896" t="s">
        <v>462</v>
      </c>
      <c r="T6" s="1896" t="s">
        <v>464</v>
      </c>
      <c r="U6" s="1896" t="s">
        <v>466</v>
      </c>
      <c r="V6" s="1896" t="s">
        <v>468</v>
      </c>
      <c r="W6" s="1896" t="s">
        <v>472</v>
      </c>
      <c r="X6" s="1896" t="s">
        <v>474</v>
      </c>
      <c r="Y6" s="1896" t="s">
        <v>476</v>
      </c>
      <c r="Z6" s="1897" t="s">
        <v>1973</v>
      </c>
      <c r="AA6" s="1896" t="s">
        <v>478</v>
      </c>
      <c r="AB6" s="1896" t="s">
        <v>464</v>
      </c>
      <c r="AC6" s="1898" t="s">
        <v>2135</v>
      </c>
      <c r="AD6" s="1896" t="s">
        <v>250</v>
      </c>
      <c r="AE6" s="1896" t="s">
        <v>251</v>
      </c>
      <c r="AG6" s="1899"/>
      <c r="AH6" s="1889" t="s">
        <v>2160</v>
      </c>
      <c r="AI6" s="1892" t="s">
        <v>938</v>
      </c>
      <c r="AJ6" s="1896" t="s">
        <v>462</v>
      </c>
      <c r="AK6" s="1896" t="s">
        <v>464</v>
      </c>
      <c r="AL6" s="1896" t="s">
        <v>466</v>
      </c>
      <c r="AM6" s="1896" t="s">
        <v>468</v>
      </c>
      <c r="AN6" s="1896" t="s">
        <v>472</v>
      </c>
      <c r="AO6" s="1896" t="s">
        <v>474</v>
      </c>
      <c r="AP6" s="1896" t="s">
        <v>476</v>
      </c>
      <c r="AQ6" s="1897" t="s">
        <v>1973</v>
      </c>
      <c r="AR6" s="1896" t="s">
        <v>478</v>
      </c>
      <c r="AS6" s="1896" t="s">
        <v>464</v>
      </c>
      <c r="AT6" s="1898" t="s">
        <v>2135</v>
      </c>
      <c r="AU6" s="1896" t="s">
        <v>250</v>
      </c>
      <c r="AV6" s="1896" t="s">
        <v>251</v>
      </c>
      <c r="AX6" s="1899"/>
      <c r="AY6" s="1889" t="s">
        <v>2160</v>
      </c>
      <c r="AZ6" s="1892" t="s">
        <v>938</v>
      </c>
      <c r="BA6" s="1896" t="s">
        <v>462</v>
      </c>
      <c r="BB6" s="1896" t="s">
        <v>464</v>
      </c>
      <c r="BC6" s="1896" t="s">
        <v>466</v>
      </c>
      <c r="BD6" s="1896" t="s">
        <v>468</v>
      </c>
      <c r="BE6" s="1896" t="s">
        <v>472</v>
      </c>
      <c r="BF6" s="1896" t="s">
        <v>474</v>
      </c>
      <c r="BG6" s="1896" t="s">
        <v>476</v>
      </c>
      <c r="BH6" s="1897" t="s">
        <v>1973</v>
      </c>
      <c r="BI6" s="1896" t="s">
        <v>478</v>
      </c>
      <c r="BJ6" s="1896" t="s">
        <v>464</v>
      </c>
      <c r="BK6" s="1898" t="s">
        <v>2135</v>
      </c>
      <c r="BL6" s="1896" t="s">
        <v>250</v>
      </c>
      <c r="BM6" s="1896" t="s">
        <v>251</v>
      </c>
      <c r="BO6" s="1899"/>
      <c r="BP6" s="1889" t="s">
        <v>2160</v>
      </c>
      <c r="BQ6" s="1892" t="s">
        <v>938</v>
      </c>
      <c r="BR6" s="1896" t="s">
        <v>462</v>
      </c>
      <c r="BS6" s="1896" t="s">
        <v>464</v>
      </c>
      <c r="BT6" s="1896" t="s">
        <v>466</v>
      </c>
      <c r="BU6" s="1896" t="s">
        <v>468</v>
      </c>
      <c r="BV6" s="1896" t="s">
        <v>472</v>
      </c>
      <c r="BW6" s="1896" t="s">
        <v>474</v>
      </c>
      <c r="BX6" s="1896" t="s">
        <v>476</v>
      </c>
      <c r="BY6" s="1897" t="s">
        <v>1973</v>
      </c>
      <c r="BZ6" s="1896" t="s">
        <v>478</v>
      </c>
      <c r="CA6" s="1896" t="s">
        <v>464</v>
      </c>
      <c r="CB6" s="1898" t="s">
        <v>2135</v>
      </c>
      <c r="CC6" s="1896" t="s">
        <v>250</v>
      </c>
      <c r="CD6" s="1896" t="s">
        <v>251</v>
      </c>
      <c r="CE6" s="2267"/>
      <c r="CG6" s="1899"/>
      <c r="CH6" s="1889" t="s">
        <v>2160</v>
      </c>
      <c r="CI6" s="1892" t="s">
        <v>938</v>
      </c>
      <c r="CJ6" s="1896" t="s">
        <v>462</v>
      </c>
      <c r="CK6" s="1896" t="s">
        <v>464</v>
      </c>
      <c r="CL6" s="1896" t="s">
        <v>466</v>
      </c>
      <c r="CM6" s="1896" t="s">
        <v>468</v>
      </c>
      <c r="CN6" s="1896" t="s">
        <v>472</v>
      </c>
      <c r="CO6" s="1896" t="s">
        <v>474</v>
      </c>
      <c r="CP6" s="1896" t="s">
        <v>476</v>
      </c>
      <c r="CQ6" s="1897" t="s">
        <v>1973</v>
      </c>
      <c r="CR6" s="1896" t="s">
        <v>478</v>
      </c>
      <c r="CS6" s="1896" t="s">
        <v>464</v>
      </c>
      <c r="CT6" s="1898" t="s">
        <v>2135</v>
      </c>
      <c r="CU6" s="1896" t="s">
        <v>250</v>
      </c>
      <c r="CV6" s="1896" t="s">
        <v>251</v>
      </c>
      <c r="CX6" s="1899"/>
      <c r="CY6" s="1889" t="s">
        <v>2160</v>
      </c>
      <c r="CZ6" s="1892" t="s">
        <v>938</v>
      </c>
      <c r="DA6" s="1896" t="s">
        <v>462</v>
      </c>
      <c r="DB6" s="1896" t="s">
        <v>464</v>
      </c>
      <c r="DC6" s="1896" t="s">
        <v>466</v>
      </c>
      <c r="DD6" s="1896" t="s">
        <v>468</v>
      </c>
      <c r="DE6" s="1896" t="s">
        <v>472</v>
      </c>
      <c r="DF6" s="1896" t="s">
        <v>474</v>
      </c>
      <c r="DG6" s="1896" t="s">
        <v>476</v>
      </c>
      <c r="DH6" s="1897" t="s">
        <v>1973</v>
      </c>
      <c r="DI6" s="1896" t="s">
        <v>478</v>
      </c>
      <c r="DJ6" s="1896" t="s">
        <v>464</v>
      </c>
      <c r="DK6" s="1898" t="s">
        <v>2135</v>
      </c>
      <c r="DL6" s="1896" t="s">
        <v>250</v>
      </c>
      <c r="DM6" s="1896" t="s">
        <v>251</v>
      </c>
    </row>
    <row r="7" spans="2:117">
      <c r="B7" s="1900"/>
      <c r="C7" s="1901" t="s">
        <v>252</v>
      </c>
      <c r="D7" s="1902" t="e">
        <f>1-E7</f>
        <v>#DIV/0!</v>
      </c>
      <c r="E7" s="1903" t="e">
        <f>(AC8*W7)+(AD8*X7)+(AE8*Y7)</f>
        <v>#DIV/0!</v>
      </c>
      <c r="G7" s="1903"/>
      <c r="H7" s="1903"/>
      <c r="I7" s="1903"/>
      <c r="J7" s="1903"/>
      <c r="K7" s="1903"/>
      <c r="L7" s="1903"/>
      <c r="M7" s="1903"/>
      <c r="N7" s="1903"/>
      <c r="P7" s="1888"/>
      <c r="Q7" s="1888" t="s">
        <v>939</v>
      </c>
      <c r="R7" s="1889" t="s">
        <v>940</v>
      </c>
      <c r="S7" s="1904" t="e">
        <f>メイン!C47/メイン!$C$19</f>
        <v>#DIV/0!</v>
      </c>
      <c r="T7" s="1904" t="e">
        <f>(メイン!E49+メイン!E53)/メイン!$C$19</f>
        <v>#DIV/0!</v>
      </c>
      <c r="U7" s="1904" t="e">
        <f>メイン!C54/メイン!$C$19</f>
        <v>#DIV/0!</v>
      </c>
      <c r="V7" s="1904" t="e">
        <f>メイン!C56/メイン!$C$19</f>
        <v>#DIV/0!</v>
      </c>
      <c r="W7" s="1904" t="e">
        <f>メイン!C61/メイン!$C$19</f>
        <v>#DIV/0!</v>
      </c>
      <c r="X7" s="1904" t="e">
        <f>メイン!C62/メイン!$C$19</f>
        <v>#DIV/0!</v>
      </c>
      <c r="Y7" s="1904" t="e">
        <f>メイン!C64/メイン!$C$19</f>
        <v>#DIV/0!</v>
      </c>
      <c r="Z7" s="1904" t="e">
        <f>メイン!C57/メイン!$C$19</f>
        <v>#DIV/0!</v>
      </c>
      <c r="AA7" s="1904" t="e">
        <f>メイン!C60/メイン!$C$19</f>
        <v>#DIV/0!</v>
      </c>
      <c r="AB7" s="1904" t="e">
        <f>(メイン!E50+メイン!E51+メイン!E52)/メイン!$C$19</f>
        <v>#DIV/0!</v>
      </c>
      <c r="AC7" s="1904" t="e">
        <f>W7</f>
        <v>#DIV/0!</v>
      </c>
      <c r="AD7" s="1904" t="e">
        <f>X7</f>
        <v>#DIV/0!</v>
      </c>
      <c r="AE7" s="1904" t="e">
        <f>Y7</f>
        <v>#DIV/0!</v>
      </c>
      <c r="AG7" s="1891"/>
      <c r="AH7" s="1888"/>
      <c r="AI7" s="1892"/>
      <c r="AJ7" s="1904"/>
      <c r="AK7" s="1904"/>
      <c r="AL7" s="1904"/>
      <c r="AM7" s="1904"/>
      <c r="AN7" s="1904"/>
      <c r="AO7" s="1904"/>
      <c r="AP7" s="1904"/>
      <c r="AQ7" s="1905"/>
      <c r="AR7" s="1904"/>
      <c r="AS7" s="1904"/>
      <c r="AT7" s="1904"/>
      <c r="AU7" s="1904"/>
      <c r="AV7" s="1904"/>
      <c r="AX7" s="1891"/>
      <c r="AY7" s="1888"/>
      <c r="AZ7" s="1892"/>
      <c r="BA7" s="1904"/>
      <c r="BB7" s="1904"/>
      <c r="BC7" s="1904"/>
      <c r="BD7" s="1904"/>
      <c r="BE7" s="1904"/>
      <c r="BF7" s="1904"/>
      <c r="BG7" s="1904"/>
      <c r="BH7" s="1905"/>
      <c r="BI7" s="1904"/>
      <c r="BJ7" s="1904"/>
      <c r="BK7" s="1904"/>
      <c r="BL7" s="1904"/>
      <c r="BM7" s="1904"/>
      <c r="BO7" s="1891"/>
      <c r="BP7" s="1888"/>
      <c r="BQ7" s="1892"/>
      <c r="BR7" s="1904"/>
      <c r="BS7" s="1904"/>
      <c r="BT7" s="1904"/>
      <c r="BU7" s="1904"/>
      <c r="BV7" s="1904"/>
      <c r="BW7" s="1904"/>
      <c r="BX7" s="1904"/>
      <c r="BY7" s="1905"/>
      <c r="BZ7" s="1904"/>
      <c r="CA7" s="1904"/>
      <c r="CB7" s="1904"/>
      <c r="CC7" s="1904"/>
      <c r="CD7" s="1904"/>
      <c r="CE7" s="2268"/>
      <c r="CG7" s="1891"/>
      <c r="CH7" s="1888"/>
      <c r="CI7" s="1892"/>
      <c r="CJ7" s="1904"/>
      <c r="CK7" s="1904"/>
      <c r="CL7" s="1904"/>
      <c r="CM7" s="1904"/>
      <c r="CN7" s="1904"/>
      <c r="CO7" s="1904"/>
      <c r="CP7" s="1904"/>
      <c r="CQ7" s="1905"/>
      <c r="CR7" s="1904"/>
      <c r="CS7" s="1904"/>
      <c r="CT7" s="1904"/>
      <c r="CU7" s="1904"/>
      <c r="CV7" s="1904"/>
      <c r="CX7" s="1891"/>
      <c r="CY7" s="1888"/>
      <c r="CZ7" s="1892"/>
      <c r="DA7" s="1904"/>
      <c r="DB7" s="1904"/>
      <c r="DC7" s="1904"/>
      <c r="DD7" s="1904"/>
      <c r="DE7" s="1904"/>
      <c r="DF7" s="1904"/>
      <c r="DG7" s="1904"/>
      <c r="DH7" s="1905"/>
      <c r="DI7" s="1904"/>
      <c r="DJ7" s="1904"/>
      <c r="DK7" s="1904"/>
      <c r="DL7" s="1904"/>
      <c r="DM7" s="1904"/>
    </row>
    <row r="8" spans="2:117" ht="14">
      <c r="B8" s="1906" t="s">
        <v>253</v>
      </c>
      <c r="C8" s="2998" t="s">
        <v>950</v>
      </c>
      <c r="D8" s="1908"/>
      <c r="E8" s="1909"/>
      <c r="G8" s="1909"/>
      <c r="H8" s="1909"/>
      <c r="I8" s="1909" t="e">
        <f>G9+G62+G112</f>
        <v>#DIV/0!</v>
      </c>
      <c r="J8" s="1909" t="e">
        <f>H9+H62+H112</f>
        <v>#DIV/0!</v>
      </c>
      <c r="K8" s="1909"/>
      <c r="L8" s="1909"/>
      <c r="M8" s="1909"/>
      <c r="N8" s="1909"/>
      <c r="P8" s="1906"/>
      <c r="Q8" s="1906" t="s">
        <v>254</v>
      </c>
      <c r="R8" s="1889" t="s">
        <v>951</v>
      </c>
      <c r="S8" s="1904"/>
      <c r="T8" s="1904"/>
      <c r="U8" s="1904"/>
      <c r="V8" s="1904"/>
      <c r="W8" s="1904">
        <f>1-メイン!F68</f>
        <v>1</v>
      </c>
      <c r="X8" s="1904">
        <f>1-メイン!F69</f>
        <v>1</v>
      </c>
      <c r="Y8" s="1904">
        <f>1-メイン!F70</f>
        <v>1</v>
      </c>
      <c r="Z8" s="1905"/>
      <c r="AA8" s="1904"/>
      <c r="AB8" s="1904"/>
      <c r="AC8" s="2791">
        <f>メイン!F68</f>
        <v>0</v>
      </c>
      <c r="AD8" s="2792">
        <f>メイン!F69</f>
        <v>0</v>
      </c>
      <c r="AE8" s="1904">
        <f>メイン!F70</f>
        <v>0</v>
      </c>
      <c r="AG8" s="1910" t="s">
        <v>255</v>
      </c>
      <c r="AH8" s="1906"/>
      <c r="AI8" s="1911" t="s">
        <v>256</v>
      </c>
      <c r="AJ8" s="1912"/>
      <c r="AK8" s="1912"/>
      <c r="AL8" s="1912"/>
      <c r="AM8" s="1912"/>
      <c r="AN8" s="1912"/>
      <c r="AO8" s="1912"/>
      <c r="AP8" s="1912"/>
      <c r="AQ8" s="1913"/>
      <c r="AR8" s="1912"/>
      <c r="AS8" s="1912"/>
      <c r="AT8" s="1914"/>
      <c r="AU8" s="1915"/>
      <c r="AV8" s="1915"/>
      <c r="AX8" s="1910" t="s">
        <v>255</v>
      </c>
      <c r="AY8" s="1906"/>
      <c r="AZ8" s="1911" t="s">
        <v>256</v>
      </c>
      <c r="BA8" s="1912"/>
      <c r="BB8" s="1912"/>
      <c r="BC8" s="1912"/>
      <c r="BD8" s="1912"/>
      <c r="BE8" s="1912"/>
      <c r="BF8" s="1912"/>
      <c r="BG8" s="1912"/>
      <c r="BH8" s="1913"/>
      <c r="BI8" s="1912"/>
      <c r="BJ8" s="1912"/>
      <c r="BK8" s="1914"/>
      <c r="BL8" s="1915"/>
      <c r="BM8" s="1915"/>
      <c r="BO8" s="1910" t="s">
        <v>255</v>
      </c>
      <c r="BP8" s="1906"/>
      <c r="BQ8" s="1911" t="s">
        <v>256</v>
      </c>
      <c r="BR8" s="1912"/>
      <c r="BS8" s="1912"/>
      <c r="BT8" s="1912"/>
      <c r="BU8" s="1912"/>
      <c r="BV8" s="1912"/>
      <c r="BW8" s="1912"/>
      <c r="BX8" s="1912"/>
      <c r="BY8" s="1913"/>
      <c r="BZ8" s="1912"/>
      <c r="CA8" s="1912"/>
      <c r="CB8" s="1914"/>
      <c r="CC8" s="1915"/>
      <c r="CD8" s="1915"/>
      <c r="CE8" s="2269"/>
      <c r="CG8" s="1910" t="s">
        <v>253</v>
      </c>
      <c r="CH8" s="1906"/>
      <c r="CI8" s="1911" t="s">
        <v>256</v>
      </c>
      <c r="CJ8" s="1912"/>
      <c r="CK8" s="1912"/>
      <c r="CL8" s="1912"/>
      <c r="CM8" s="1912"/>
      <c r="CN8" s="1912"/>
      <c r="CO8" s="1912"/>
      <c r="CP8" s="1912"/>
      <c r="CQ8" s="1913"/>
      <c r="CR8" s="1912"/>
      <c r="CS8" s="1912"/>
      <c r="CT8" s="1914"/>
      <c r="CU8" s="1915"/>
      <c r="CV8" s="1915"/>
      <c r="CX8" s="1910" t="s">
        <v>253</v>
      </c>
      <c r="CY8" s="1906"/>
      <c r="CZ8" s="1911" t="s">
        <v>256</v>
      </c>
      <c r="DA8" s="1912">
        <f>BR8</f>
        <v>0</v>
      </c>
      <c r="DB8" s="1912"/>
      <c r="DC8" s="1912"/>
      <c r="DD8" s="1912"/>
      <c r="DE8" s="1912"/>
      <c r="DF8" s="1912"/>
      <c r="DG8" s="1912"/>
      <c r="DH8" s="1913"/>
      <c r="DI8" s="1912"/>
      <c r="DJ8" s="1912"/>
      <c r="DK8" s="1914"/>
      <c r="DL8" s="1915"/>
      <c r="DM8" s="1915"/>
    </row>
    <row r="9" spans="2:117">
      <c r="B9" s="1916" t="str">
        <f t="shared" ref="B9:B42" si="0">P9</f>
        <v>Q1</v>
      </c>
      <c r="C9" s="1919" t="str">
        <f t="shared" ref="C9:C72" si="1">R9</f>
        <v>室内環境</v>
      </c>
      <c r="D9" s="1917" t="e">
        <f>IF(I$8=0,0,G9/I$8)</f>
        <v>#DIV/0!</v>
      </c>
      <c r="E9" s="1918" t="e">
        <f>IF(J$8=0,0,H9/J$8)</f>
        <v>#DIV/0!</v>
      </c>
      <c r="G9" s="1918" t="e">
        <f t="shared" ref="G9:G41" si="2">K9*M9</f>
        <v>#DIV/0!</v>
      </c>
      <c r="H9" s="1918" t="e">
        <f t="shared" ref="H9:H41" si="3">L9*N9</f>
        <v>#DIV/0!</v>
      </c>
      <c r="I9" s="1918" t="e">
        <f>G10+G20+G35+G48</f>
        <v>#DIV/0!</v>
      </c>
      <c r="J9" s="1918" t="e">
        <f>H10+H20+H35+H48</f>
        <v>#DIV/0!</v>
      </c>
      <c r="K9" s="1918" t="e">
        <f>IF(スコア!T9=0,0,1)</f>
        <v>#DIV/0!</v>
      </c>
      <c r="L9" s="1918">
        <f>IF(スコア!R9=0,0,1)</f>
        <v>0</v>
      </c>
      <c r="M9" s="1918" t="e">
        <f t="shared" ref="M9:M41" si="4">SUMPRODUCT($S$7:$AB$7,S9:AB9)</f>
        <v>#DIV/0!</v>
      </c>
      <c r="N9" s="1918" t="e">
        <f t="shared" ref="N9:N41" si="5">(AC$7*AC9)+(AD$7*AD9)+(AE$7*AE9)</f>
        <v>#DIV/0!</v>
      </c>
      <c r="P9" s="1916" t="str">
        <f t="shared" ref="P9:P73" si="6">IF($P$3=1,AX9,IF($P$3=2,BO9,IF($P$3=3,CG9,IF($P$3=4,CX9,AG9))))</f>
        <v>Q1</v>
      </c>
      <c r="Q9" s="1916" t="str">
        <f t="shared" ref="Q9:Q73" si="7">IF($P$3=1,AY9,IF($P$3=2,BP9,IF($P$3=3,CH9,IF($P$3=4,CY9,AH9))))</f>
        <v xml:space="preserve"> Q</v>
      </c>
      <c r="R9" s="1919" t="str">
        <f t="shared" ref="R9:R73" si="8">IF($P$3=1,AZ9,IF($P$3=2,BQ9,IF($P$3=3,CI9,IF($P$3=4,CZ9,AI9))))</f>
        <v>室内環境</v>
      </c>
      <c r="S9" s="2793">
        <f>IF($P$3=1,BA9,IF($P$3=2,BR9,IF($P$3=3,CJ9,IF($P$3=4,DA9,AJ9))))</f>
        <v>0.4</v>
      </c>
      <c r="T9" s="2793">
        <f t="shared" ref="T9:Z24" si="9">IF($P$3=1,BB9,IF($P$3=2,BS9,IF($P$3=3,CK9,IF($P$3=4,DB9,AK9))))</f>
        <v>0.4</v>
      </c>
      <c r="U9" s="2793">
        <f t="shared" si="9"/>
        <v>0.4</v>
      </c>
      <c r="V9" s="2793">
        <f t="shared" si="9"/>
        <v>0.4</v>
      </c>
      <c r="W9" s="2793">
        <f t="shared" si="9"/>
        <v>0.4</v>
      </c>
      <c r="X9" s="2793">
        <f t="shared" si="9"/>
        <v>0.4</v>
      </c>
      <c r="Y9" s="2793">
        <f t="shared" si="9"/>
        <v>0.4</v>
      </c>
      <c r="Z9" s="2793">
        <f t="shared" si="9"/>
        <v>0.4</v>
      </c>
      <c r="AA9" s="2794">
        <f>IF($Q$3="coCASB",0,IF($P$3=1,BI9,IF($P$3=2,BZ9,IF($P$3=3,CR9,IF($P$3=4,DI9,AR9)))))</f>
        <v>0.3</v>
      </c>
      <c r="AB9" s="2793">
        <f t="shared" ref="AB9:AB63" si="10">IF($P$3=1,BJ9,IF($P$3=2,CA9,IF($P$3=3,CS9,IF($P$3=4,DJ9,AS9))))</f>
        <v>0.4</v>
      </c>
      <c r="AC9" s="2793">
        <f t="shared" ref="AC9:AC63" si="11">IF($P$3=1,BK9,IF($P$3=2,CB9,IF($P$3=3,CT9,IF($P$3=4,DK9,AT9))))</f>
        <v>0</v>
      </c>
      <c r="AD9" s="2793">
        <f t="shared" ref="AD9:AD63" si="12">IF($P$3=1,BL9,IF($P$3=2,CC9,IF($P$3=3,CU9,IF($P$3=4,DL9,AU9))))</f>
        <v>0</v>
      </c>
      <c r="AE9" s="2793">
        <f>IF($P$3=1,BM9,IF($P$3=2,CD9,IF($P$3=3,CV9,IF($P$3=4,DM9,AV9))))</f>
        <v>0</v>
      </c>
      <c r="AG9" s="1916" t="s">
        <v>257</v>
      </c>
      <c r="AH9" s="1921" t="s">
        <v>952</v>
      </c>
      <c r="AI9" s="1919" t="s">
        <v>258</v>
      </c>
      <c r="AJ9" s="1920">
        <v>0.4</v>
      </c>
      <c r="AK9" s="1920">
        <v>0.4</v>
      </c>
      <c r="AL9" s="1920">
        <v>0.4</v>
      </c>
      <c r="AM9" s="1920">
        <v>0.4</v>
      </c>
      <c r="AN9" s="1920">
        <v>0.4</v>
      </c>
      <c r="AO9" s="1920">
        <v>0.4</v>
      </c>
      <c r="AP9" s="1920">
        <v>0.4</v>
      </c>
      <c r="AQ9" s="1920">
        <v>0.4</v>
      </c>
      <c r="AR9" s="1920">
        <v>0.3</v>
      </c>
      <c r="AS9" s="1922">
        <v>0.4</v>
      </c>
      <c r="AT9" s="1923"/>
      <c r="AU9" s="1922"/>
      <c r="AV9" s="1922"/>
      <c r="AX9" s="1916" t="s">
        <v>257</v>
      </c>
      <c r="AY9" s="1921" t="s">
        <v>952</v>
      </c>
      <c r="AZ9" s="1919" t="s">
        <v>258</v>
      </c>
      <c r="BA9" s="1922">
        <v>0.4</v>
      </c>
      <c r="BB9" s="1922">
        <v>0.4</v>
      </c>
      <c r="BC9" s="1922">
        <v>0.4</v>
      </c>
      <c r="BD9" s="1922">
        <v>0.4</v>
      </c>
      <c r="BE9" s="1922">
        <v>0.4</v>
      </c>
      <c r="BF9" s="1922">
        <v>0.4</v>
      </c>
      <c r="BG9" s="1922">
        <v>0.4</v>
      </c>
      <c r="BH9" s="1922">
        <v>0.4</v>
      </c>
      <c r="BI9" s="1922">
        <v>0.3</v>
      </c>
      <c r="BJ9" s="1922">
        <v>0.4</v>
      </c>
      <c r="BK9" s="1923"/>
      <c r="BL9" s="1922"/>
      <c r="BM9" s="1922"/>
      <c r="BO9" s="1916" t="s">
        <v>257</v>
      </c>
      <c r="BP9" s="1921" t="s">
        <v>952</v>
      </c>
      <c r="BQ9" s="1919" t="s">
        <v>258</v>
      </c>
      <c r="BR9" s="1922">
        <v>0.4</v>
      </c>
      <c r="BS9" s="1922">
        <v>0.4</v>
      </c>
      <c r="BT9" s="1922">
        <v>0.4</v>
      </c>
      <c r="BU9" s="1922">
        <v>0.4</v>
      </c>
      <c r="BV9" s="1922">
        <v>0.4</v>
      </c>
      <c r="BW9" s="1922">
        <v>0.4</v>
      </c>
      <c r="BX9" s="1922">
        <v>0.4</v>
      </c>
      <c r="BY9" s="1922">
        <v>0.4</v>
      </c>
      <c r="BZ9" s="1922">
        <v>0.3</v>
      </c>
      <c r="CA9" s="1922">
        <v>0.4</v>
      </c>
      <c r="CB9" s="1923"/>
      <c r="CC9" s="1922"/>
      <c r="CD9" s="1922"/>
      <c r="CE9" s="2270"/>
      <c r="CG9" s="1916" t="s">
        <v>257</v>
      </c>
      <c r="CH9" s="1921" t="s">
        <v>952</v>
      </c>
      <c r="CI9" s="1919" t="s">
        <v>258</v>
      </c>
      <c r="CJ9" s="2691">
        <v>0.5</v>
      </c>
      <c r="CK9" s="2691">
        <v>0.5</v>
      </c>
      <c r="CL9" s="2691">
        <v>0.5</v>
      </c>
      <c r="CM9" s="2691">
        <v>0.5</v>
      </c>
      <c r="CN9" s="2691">
        <v>0.5</v>
      </c>
      <c r="CO9" s="2691">
        <v>0.5</v>
      </c>
      <c r="CP9" s="2691">
        <v>0.5</v>
      </c>
      <c r="CQ9" s="2691">
        <v>0.5</v>
      </c>
      <c r="CR9" s="2691">
        <v>0.35</v>
      </c>
      <c r="CS9" s="2691">
        <v>0.5</v>
      </c>
      <c r="CT9" s="2702">
        <f t="shared" ref="CT9:CT75" si="13">CB9</f>
        <v>0</v>
      </c>
      <c r="CU9" s="2701">
        <f t="shared" ref="CU9:CU75" si="14">CC9</f>
        <v>0</v>
      </c>
      <c r="CV9" s="2701">
        <f t="shared" ref="CV9:CV75" si="15">CD9</f>
        <v>0</v>
      </c>
      <c r="CX9" s="1916" t="s">
        <v>257</v>
      </c>
      <c r="CY9" s="1921" t="s">
        <v>952</v>
      </c>
      <c r="CZ9" s="1919" t="s">
        <v>258</v>
      </c>
      <c r="DA9" s="2923">
        <v>0.5</v>
      </c>
      <c r="DB9" s="2691"/>
      <c r="DC9" s="2691"/>
      <c r="DD9" s="2691"/>
      <c r="DE9" s="2691"/>
      <c r="DF9" s="2691"/>
      <c r="DG9" s="2691"/>
      <c r="DH9" s="2691"/>
      <c r="DI9" s="2691"/>
      <c r="DJ9" s="2691"/>
      <c r="DK9" s="2692"/>
      <c r="DL9" s="2691"/>
      <c r="DM9" s="2691"/>
    </row>
    <row r="10" spans="2:117">
      <c r="B10" s="1916">
        <f t="shared" si="0"/>
        <v>1</v>
      </c>
      <c r="C10" s="1928" t="str">
        <f>R10</f>
        <v>音環境</v>
      </c>
      <c r="D10" s="1924" t="e">
        <f>IF(I$9=0,0,G10/I$9)</f>
        <v>#DIV/0!</v>
      </c>
      <c r="E10" s="1925" t="e">
        <f>IF(J$9=0,0,H10/J$9)</f>
        <v>#DIV/0!</v>
      </c>
      <c r="G10" s="1925" t="e">
        <f t="shared" si="2"/>
        <v>#DIV/0!</v>
      </c>
      <c r="H10" s="1925" t="e">
        <f t="shared" si="3"/>
        <v>#DIV/0!</v>
      </c>
      <c r="I10" s="1926" t="e">
        <f>G11+G14+G19</f>
        <v>#DIV/0!</v>
      </c>
      <c r="J10" s="1926" t="e">
        <f>H11+H14+H19</f>
        <v>#DIV/0!</v>
      </c>
      <c r="K10" s="1925" t="e">
        <f>IF(L10&gt;0,1,IF(スコア!O10=0,0,1))</f>
        <v>#DIV/0!</v>
      </c>
      <c r="L10" s="1925" t="e">
        <f>IF(スコア!R10=0,0,1)</f>
        <v>#DIV/0!</v>
      </c>
      <c r="M10" s="1925" t="e">
        <f t="shared" si="4"/>
        <v>#DIV/0!</v>
      </c>
      <c r="N10" s="1925" t="e">
        <f t="shared" si="5"/>
        <v>#DIV/0!</v>
      </c>
      <c r="P10" s="1927">
        <f t="shared" si="6"/>
        <v>1</v>
      </c>
      <c r="Q10" s="1927" t="str">
        <f t="shared" si="7"/>
        <v xml:space="preserve"> Q1</v>
      </c>
      <c r="R10" s="1928" t="str">
        <f t="shared" si="8"/>
        <v>音環境</v>
      </c>
      <c r="S10" s="2796">
        <f t="shared" ref="S10:S63" si="16">IF($P$3=1,BA10,IF($P$3=2,BR10,IF($P$3=3,CJ10,IF($P$3=4,DA10,AJ10))))</f>
        <v>0.15</v>
      </c>
      <c r="T10" s="2796">
        <f t="shared" si="9"/>
        <v>0.15</v>
      </c>
      <c r="U10" s="2796">
        <f t="shared" si="9"/>
        <v>0.15</v>
      </c>
      <c r="V10" s="2796">
        <f t="shared" si="9"/>
        <v>0.15</v>
      </c>
      <c r="W10" s="2796">
        <f t="shared" si="9"/>
        <v>0.15</v>
      </c>
      <c r="X10" s="2796">
        <f t="shared" si="9"/>
        <v>0.15</v>
      </c>
      <c r="Y10" s="2796">
        <f t="shared" si="9"/>
        <v>0.15</v>
      </c>
      <c r="Z10" s="2797">
        <f t="shared" si="9"/>
        <v>0.15</v>
      </c>
      <c r="AA10" s="2796">
        <f t="shared" ref="AA10:AA62" si="17">IF($P$3=1,BI10,IF($P$3=2,BZ10,IF($P$3=3,CR10,IF($P$3=4,DI10,AR10))))</f>
        <v>0.15</v>
      </c>
      <c r="AB10" s="2796">
        <f t="shared" si="10"/>
        <v>0.15</v>
      </c>
      <c r="AC10" s="2798">
        <f t="shared" si="11"/>
        <v>0</v>
      </c>
      <c r="AD10" s="2796">
        <f t="shared" si="12"/>
        <v>0</v>
      </c>
      <c r="AE10" s="2796">
        <f t="shared" ref="AE10:AE63" si="18">IF($P$3=1,BM10,IF($P$3=2,CD10,IF($P$3=3,CV10,IF($P$3=4,DM10,AV10))))</f>
        <v>0</v>
      </c>
      <c r="AG10" s="1927">
        <v>1</v>
      </c>
      <c r="AH10" s="1931" t="s">
        <v>953</v>
      </c>
      <c r="AI10" s="1928" t="s">
        <v>943</v>
      </c>
      <c r="AJ10" s="1929">
        <v>0.15</v>
      </c>
      <c r="AK10" s="1929">
        <v>0.15</v>
      </c>
      <c r="AL10" s="1929">
        <v>0.15</v>
      </c>
      <c r="AM10" s="1929">
        <v>0.15</v>
      </c>
      <c r="AN10" s="1929">
        <v>0.15</v>
      </c>
      <c r="AO10" s="1929">
        <v>0.15</v>
      </c>
      <c r="AP10" s="1929">
        <v>0.15</v>
      </c>
      <c r="AQ10" s="1930">
        <v>0.23</v>
      </c>
      <c r="AR10" s="1929">
        <v>0.15</v>
      </c>
      <c r="AS10" s="1932">
        <v>0.15</v>
      </c>
      <c r="AT10" s="1933"/>
      <c r="AU10" s="1932"/>
      <c r="AV10" s="1932"/>
      <c r="AX10" s="1927">
        <v>1</v>
      </c>
      <c r="AY10" s="1931" t="s">
        <v>953</v>
      </c>
      <c r="AZ10" s="1928" t="s">
        <v>943</v>
      </c>
      <c r="BA10" s="1932">
        <v>0.15</v>
      </c>
      <c r="BB10" s="1932">
        <v>0.15</v>
      </c>
      <c r="BC10" s="1932">
        <v>0.15</v>
      </c>
      <c r="BD10" s="1932">
        <v>0.15</v>
      </c>
      <c r="BE10" s="1932">
        <v>0.15</v>
      </c>
      <c r="BF10" s="1932">
        <v>0.15</v>
      </c>
      <c r="BG10" s="1932">
        <v>0.15</v>
      </c>
      <c r="BH10" s="1934">
        <v>0.23</v>
      </c>
      <c r="BI10" s="1932">
        <v>0.15</v>
      </c>
      <c r="BJ10" s="1932">
        <v>0.15</v>
      </c>
      <c r="BK10" s="1933"/>
      <c r="BL10" s="1932"/>
      <c r="BM10" s="1932"/>
      <c r="BO10" s="1927">
        <v>1</v>
      </c>
      <c r="BP10" s="1931" t="s">
        <v>953</v>
      </c>
      <c r="BQ10" s="1928" t="s">
        <v>943</v>
      </c>
      <c r="BR10" s="1932">
        <v>0.15</v>
      </c>
      <c r="BS10" s="1932">
        <v>0.15</v>
      </c>
      <c r="BT10" s="1932">
        <v>0.15</v>
      </c>
      <c r="BU10" s="1932">
        <v>0.15</v>
      </c>
      <c r="BV10" s="1932">
        <v>0.15</v>
      </c>
      <c r="BW10" s="1932">
        <v>0.15</v>
      </c>
      <c r="BX10" s="1932">
        <v>0.15</v>
      </c>
      <c r="BY10" s="2453">
        <v>0.15</v>
      </c>
      <c r="BZ10" s="1932">
        <v>0.15</v>
      </c>
      <c r="CA10" s="1932">
        <v>0.15</v>
      </c>
      <c r="CB10" s="1933"/>
      <c r="CC10" s="1932"/>
      <c r="CD10" s="1932"/>
      <c r="CE10" s="2271"/>
      <c r="CG10" s="1927">
        <v>1</v>
      </c>
      <c r="CH10" s="1931" t="s">
        <v>953</v>
      </c>
      <c r="CI10" s="1928" t="s">
        <v>943</v>
      </c>
      <c r="CJ10" s="2703">
        <f t="shared" ref="CJ10:CJ76" si="19">BR10</f>
        <v>0.15</v>
      </c>
      <c r="CK10" s="2703">
        <f t="shared" ref="CK10:CK75" si="20">BS10</f>
        <v>0.15</v>
      </c>
      <c r="CL10" s="2703">
        <f t="shared" ref="CL10:CL75" si="21">BT10</f>
        <v>0.15</v>
      </c>
      <c r="CM10" s="2703">
        <f t="shared" ref="CM10:CM75" si="22">BU10</f>
        <v>0.15</v>
      </c>
      <c r="CN10" s="2703">
        <f t="shared" ref="CN10:CN75" si="23">BV10</f>
        <v>0.15</v>
      </c>
      <c r="CO10" s="2703">
        <f t="shared" ref="CO10:CO75" si="24">BW10</f>
        <v>0.15</v>
      </c>
      <c r="CP10" s="2703">
        <f t="shared" ref="CP10:CQ75" si="25">BX10</f>
        <v>0.15</v>
      </c>
      <c r="CQ10" s="2704">
        <f t="shared" ref="CQ10:CQ75" si="26">BY10</f>
        <v>0.15</v>
      </c>
      <c r="CR10" s="2703">
        <f t="shared" ref="CR10:CR75" si="27">BZ10</f>
        <v>0.15</v>
      </c>
      <c r="CS10" s="2703">
        <f t="shared" ref="CS10:CS75" si="28">CA10</f>
        <v>0.15</v>
      </c>
      <c r="CT10" s="2705">
        <f t="shared" si="13"/>
        <v>0</v>
      </c>
      <c r="CU10" s="2703">
        <f t="shared" si="14"/>
        <v>0</v>
      </c>
      <c r="CV10" s="2703">
        <f t="shared" si="15"/>
        <v>0</v>
      </c>
      <c r="CX10" s="1927">
        <v>1</v>
      </c>
      <c r="CY10" s="1931" t="s">
        <v>953</v>
      </c>
      <c r="CZ10" s="1928" t="s">
        <v>943</v>
      </c>
      <c r="DA10" s="2693">
        <f t="shared" ref="DA10:DA67" si="29">BR10</f>
        <v>0.15</v>
      </c>
      <c r="DB10" s="2693"/>
      <c r="DC10" s="2693"/>
      <c r="DD10" s="2693"/>
      <c r="DE10" s="2693"/>
      <c r="DF10" s="2693"/>
      <c r="DG10" s="2693"/>
      <c r="DH10" s="2903"/>
      <c r="DI10" s="2693"/>
      <c r="DJ10" s="2693"/>
      <c r="DK10" s="2694"/>
      <c r="DL10" s="2693"/>
      <c r="DM10" s="2693"/>
    </row>
    <row r="11" spans="2:117">
      <c r="B11" s="1916">
        <f t="shared" si="0"/>
        <v>1.1000000000000001</v>
      </c>
      <c r="C11" s="1938" t="str">
        <f t="shared" si="1"/>
        <v>室内騒音レベル</v>
      </c>
      <c r="D11" s="1935" t="e">
        <f>IF(I$10=0,0,G11/I$10)</f>
        <v>#DIV/0!</v>
      </c>
      <c r="E11" s="1935" t="e">
        <f>IF(J$10=0,0,H11/J$10)</f>
        <v>#DIV/0!</v>
      </c>
      <c r="G11" s="1936" t="e">
        <f>K11*M11</f>
        <v>#DIV/0!</v>
      </c>
      <c r="H11" s="1936" t="e">
        <f>L11*N11</f>
        <v>#DIV/0!</v>
      </c>
      <c r="I11" s="1926" t="e">
        <f>SUM(G12:G13)</f>
        <v>#DIV/0!</v>
      </c>
      <c r="J11" s="1926" t="e">
        <f>SUM(H12:H13)</f>
        <v>#DIV/0!</v>
      </c>
      <c r="K11" s="1936">
        <f>IF(スコア!O11=0,0,1)</f>
        <v>1</v>
      </c>
      <c r="L11" s="1936">
        <f>IF(スコア!R11=0,0,1)</f>
        <v>1</v>
      </c>
      <c r="M11" s="1936" t="e">
        <f t="shared" si="4"/>
        <v>#DIV/0!</v>
      </c>
      <c r="N11" s="1936" t="e">
        <f t="shared" si="5"/>
        <v>#DIV/0!</v>
      </c>
      <c r="P11" s="1937">
        <f t="shared" si="6"/>
        <v>1.1000000000000001</v>
      </c>
      <c r="Q11" s="1937" t="str">
        <f t="shared" si="7"/>
        <v xml:space="preserve"> Q1 1</v>
      </c>
      <c r="R11" s="1938" t="str">
        <f t="shared" si="8"/>
        <v>室内騒音レベル</v>
      </c>
      <c r="S11" s="2799">
        <f t="shared" si="16"/>
        <v>0.4</v>
      </c>
      <c r="T11" s="2799">
        <f t="shared" si="9"/>
        <v>0.4</v>
      </c>
      <c r="U11" s="2799">
        <f t="shared" si="9"/>
        <v>0.4</v>
      </c>
      <c r="V11" s="2799">
        <f t="shared" si="9"/>
        <v>0.4</v>
      </c>
      <c r="W11" s="2799">
        <f t="shared" si="9"/>
        <v>0.4</v>
      </c>
      <c r="X11" s="2799">
        <f t="shared" si="9"/>
        <v>0.4</v>
      </c>
      <c r="Y11" s="2799">
        <f t="shared" si="9"/>
        <v>0.5</v>
      </c>
      <c r="Z11" s="2799">
        <f t="shared" si="9"/>
        <v>0.4</v>
      </c>
      <c r="AA11" s="2799">
        <f t="shared" si="17"/>
        <v>0.4</v>
      </c>
      <c r="AB11" s="2799">
        <f t="shared" si="10"/>
        <v>0.4</v>
      </c>
      <c r="AC11" s="2800">
        <f t="shared" si="11"/>
        <v>0.4</v>
      </c>
      <c r="AD11" s="2799">
        <f t="shared" si="12"/>
        <v>0.4</v>
      </c>
      <c r="AE11" s="2799">
        <f t="shared" si="18"/>
        <v>0.5</v>
      </c>
      <c r="AG11" s="1937">
        <v>1.1000000000000001</v>
      </c>
      <c r="AH11" s="1941" t="s">
        <v>954</v>
      </c>
      <c r="AI11" s="1942" t="s">
        <v>259</v>
      </c>
      <c r="AJ11" s="1943">
        <v>0.4</v>
      </c>
      <c r="AK11" s="1939">
        <v>0.4</v>
      </c>
      <c r="AL11" s="1939">
        <v>0.8</v>
      </c>
      <c r="AM11" s="1939">
        <v>0.4</v>
      </c>
      <c r="AN11" s="1943">
        <v>0.4</v>
      </c>
      <c r="AO11" s="1939">
        <v>0.8</v>
      </c>
      <c r="AP11" s="1939">
        <v>0.8</v>
      </c>
      <c r="AQ11" s="1943">
        <v>0.8</v>
      </c>
      <c r="AR11" s="1943">
        <v>0.5</v>
      </c>
      <c r="AS11" s="1944">
        <v>0.4</v>
      </c>
      <c r="AT11" s="1945">
        <v>0.5</v>
      </c>
      <c r="AU11" s="1944">
        <v>0.4</v>
      </c>
      <c r="AV11" s="1944">
        <v>0.4</v>
      </c>
      <c r="AX11" s="1937">
        <v>1.1000000000000001</v>
      </c>
      <c r="AY11" s="1941" t="s">
        <v>954</v>
      </c>
      <c r="AZ11" s="1942" t="s">
        <v>259</v>
      </c>
      <c r="BA11" s="1944"/>
      <c r="BB11" s="1944"/>
      <c r="BC11" s="1944"/>
      <c r="BD11" s="1944"/>
      <c r="BE11" s="1944"/>
      <c r="BF11" s="1944"/>
      <c r="BG11" s="1944"/>
      <c r="BH11" s="1946">
        <v>0.4</v>
      </c>
      <c r="BI11" s="1944"/>
      <c r="BJ11" s="1944"/>
      <c r="BK11" s="1945"/>
      <c r="BL11" s="1944"/>
      <c r="BM11" s="1944"/>
      <c r="BO11" s="1937">
        <v>1.1000000000000001</v>
      </c>
      <c r="BP11" s="1941" t="s">
        <v>954</v>
      </c>
      <c r="BQ11" s="1942" t="s">
        <v>3426</v>
      </c>
      <c r="BR11" s="1944">
        <v>0.4</v>
      </c>
      <c r="BS11" s="1944">
        <v>0.4</v>
      </c>
      <c r="BT11" s="1944">
        <v>0.4</v>
      </c>
      <c r="BU11" s="1944">
        <v>0.4</v>
      </c>
      <c r="BV11" s="1944">
        <v>0.4</v>
      </c>
      <c r="BW11" s="1944">
        <v>0.4</v>
      </c>
      <c r="BX11" s="1944">
        <v>0.5</v>
      </c>
      <c r="BY11" s="2454">
        <v>0.4</v>
      </c>
      <c r="BZ11" s="1944">
        <v>0.4</v>
      </c>
      <c r="CA11" s="1944">
        <v>0.4</v>
      </c>
      <c r="CB11" s="1944">
        <v>0.4</v>
      </c>
      <c r="CC11" s="1944">
        <v>0.4</v>
      </c>
      <c r="CD11" s="1944">
        <v>0.5</v>
      </c>
      <c r="CE11" s="2272"/>
      <c r="CG11" s="1937">
        <v>1.1000000000000001</v>
      </c>
      <c r="CH11" s="1941" t="s">
        <v>954</v>
      </c>
      <c r="CI11" s="1942" t="s">
        <v>957</v>
      </c>
      <c r="CJ11" s="2706">
        <v>0</v>
      </c>
      <c r="CK11" s="2706">
        <v>0</v>
      </c>
      <c r="CL11" s="2706">
        <v>0</v>
      </c>
      <c r="CM11" s="2706">
        <v>0</v>
      </c>
      <c r="CN11" s="2706">
        <v>0</v>
      </c>
      <c r="CO11" s="2706">
        <v>0</v>
      </c>
      <c r="CP11" s="2706">
        <v>0</v>
      </c>
      <c r="CQ11" s="2706">
        <v>0</v>
      </c>
      <c r="CR11" s="2706">
        <v>0</v>
      </c>
      <c r="CS11" s="2706">
        <v>0</v>
      </c>
      <c r="CT11" s="2706">
        <v>0</v>
      </c>
      <c r="CU11" s="2706">
        <v>0</v>
      </c>
      <c r="CV11" s="2706">
        <v>0</v>
      </c>
      <c r="CX11" s="1937">
        <v>1.1000000000000001</v>
      </c>
      <c r="CY11" s="1941" t="s">
        <v>954</v>
      </c>
      <c r="CZ11" s="1942" t="s">
        <v>957</v>
      </c>
      <c r="DA11" s="2924">
        <v>1</v>
      </c>
      <c r="DB11" s="2695"/>
      <c r="DC11" s="2695"/>
      <c r="DD11" s="2695"/>
      <c r="DE11" s="2695"/>
      <c r="DF11" s="2695"/>
      <c r="DG11" s="2695"/>
      <c r="DH11" s="2695"/>
      <c r="DI11" s="2695"/>
      <c r="DJ11" s="2695"/>
      <c r="DK11" s="2695"/>
      <c r="DL11" s="2695"/>
      <c r="DM11" s="2695"/>
    </row>
    <row r="12" spans="2:117" hidden="1">
      <c r="B12" s="1916" t="str">
        <f t="shared" si="0"/>
        <v>1.1.1</v>
      </c>
      <c r="C12" s="1938">
        <f t="shared" si="1"/>
        <v>0</v>
      </c>
      <c r="D12" s="1935" t="e">
        <f>IF(I$11=0,0,G12/I$11)</f>
        <v>#DIV/0!</v>
      </c>
      <c r="E12" s="1935" t="e">
        <f>IF(J$11=0,0,H12/J$11)</f>
        <v>#DIV/0!</v>
      </c>
      <c r="G12" s="1936" t="e">
        <f t="shared" si="2"/>
        <v>#DIV/0!</v>
      </c>
      <c r="H12" s="1936" t="e">
        <f t="shared" si="3"/>
        <v>#DIV/0!</v>
      </c>
      <c r="I12" s="1926"/>
      <c r="J12" s="1926"/>
      <c r="K12" s="1936">
        <f>IF(スコア!O12=0,0,1)</f>
        <v>0</v>
      </c>
      <c r="L12" s="1936">
        <f>IF(スコア!R12=0,0,1)</f>
        <v>0</v>
      </c>
      <c r="M12" s="1936" t="e">
        <f t="shared" si="4"/>
        <v>#DIV/0!</v>
      </c>
      <c r="N12" s="1936" t="e">
        <f t="shared" si="5"/>
        <v>#DIV/0!</v>
      </c>
      <c r="P12" s="1937" t="str">
        <f t="shared" si="6"/>
        <v>1.1.1</v>
      </c>
      <c r="Q12" s="1937" t="str">
        <f t="shared" si="7"/>
        <v xml:space="preserve"> Q1 1.1</v>
      </c>
      <c r="R12" s="1938">
        <f t="shared" si="8"/>
        <v>0</v>
      </c>
      <c r="S12" s="2799">
        <f t="shared" si="16"/>
        <v>0</v>
      </c>
      <c r="T12" s="2799">
        <f t="shared" si="9"/>
        <v>0</v>
      </c>
      <c r="U12" s="2799">
        <f t="shared" si="9"/>
        <v>0</v>
      </c>
      <c r="V12" s="2799">
        <f t="shared" si="9"/>
        <v>0</v>
      </c>
      <c r="W12" s="2799">
        <f t="shared" si="9"/>
        <v>0</v>
      </c>
      <c r="X12" s="2799">
        <f t="shared" si="9"/>
        <v>0</v>
      </c>
      <c r="Y12" s="2799">
        <f t="shared" si="9"/>
        <v>0</v>
      </c>
      <c r="Z12" s="2799">
        <f t="shared" si="9"/>
        <v>0</v>
      </c>
      <c r="AA12" s="2799">
        <f t="shared" si="17"/>
        <v>0</v>
      </c>
      <c r="AB12" s="2799">
        <f t="shared" si="10"/>
        <v>0</v>
      </c>
      <c r="AC12" s="2800">
        <f t="shared" si="11"/>
        <v>0</v>
      </c>
      <c r="AD12" s="2799">
        <f t="shared" si="12"/>
        <v>0</v>
      </c>
      <c r="AE12" s="2799">
        <f t="shared" si="18"/>
        <v>0</v>
      </c>
      <c r="AG12" s="1937" t="s">
        <v>955</v>
      </c>
      <c r="AH12" s="1941" t="s">
        <v>956</v>
      </c>
      <c r="AI12" s="1942" t="s">
        <v>957</v>
      </c>
      <c r="AJ12" s="1939">
        <v>0.4</v>
      </c>
      <c r="AK12" s="1939">
        <v>1</v>
      </c>
      <c r="AL12" s="1939">
        <v>1</v>
      </c>
      <c r="AM12" s="1939">
        <v>1</v>
      </c>
      <c r="AN12" s="1939">
        <v>0.4</v>
      </c>
      <c r="AO12" s="1939">
        <v>1</v>
      </c>
      <c r="AP12" s="1939">
        <v>1</v>
      </c>
      <c r="AQ12" s="1939">
        <v>1</v>
      </c>
      <c r="AR12" s="1939">
        <v>0.4</v>
      </c>
      <c r="AS12" s="1944">
        <v>1</v>
      </c>
      <c r="AT12" s="1945">
        <v>0.4</v>
      </c>
      <c r="AU12" s="1944">
        <v>1</v>
      </c>
      <c r="AV12" s="1944">
        <v>1</v>
      </c>
      <c r="AX12" s="1937" t="s">
        <v>955</v>
      </c>
      <c r="AY12" s="1941" t="s">
        <v>956</v>
      </c>
      <c r="AZ12" s="1942" t="s">
        <v>957</v>
      </c>
      <c r="BA12" s="1944"/>
      <c r="BB12" s="1944"/>
      <c r="BC12" s="1944"/>
      <c r="BD12" s="1944"/>
      <c r="BE12" s="1944"/>
      <c r="BF12" s="1944"/>
      <c r="BG12" s="1944"/>
      <c r="BH12" s="1946">
        <v>1</v>
      </c>
      <c r="BI12" s="1944"/>
      <c r="BJ12" s="1944"/>
      <c r="BK12" s="1945"/>
      <c r="BL12" s="1944"/>
      <c r="BM12" s="1944"/>
      <c r="BO12" s="1937" t="s">
        <v>955</v>
      </c>
      <c r="BP12" s="1941" t="s">
        <v>956</v>
      </c>
      <c r="BQ12" s="1942"/>
      <c r="BR12" s="1944"/>
      <c r="BS12" s="1944"/>
      <c r="BT12" s="1944"/>
      <c r="BU12" s="1944"/>
      <c r="BV12" s="1944"/>
      <c r="BW12" s="1944"/>
      <c r="BX12" s="1944"/>
      <c r="BY12" s="2454"/>
      <c r="BZ12" s="1944"/>
      <c r="CA12" s="1944"/>
      <c r="CB12" s="1945"/>
      <c r="CC12" s="1944"/>
      <c r="CD12" s="1944"/>
      <c r="CE12" s="2272"/>
      <c r="CG12" s="1937" t="s">
        <v>955</v>
      </c>
      <c r="CH12" s="1941" t="s">
        <v>956</v>
      </c>
      <c r="CI12" s="1942"/>
      <c r="CJ12" s="2706"/>
      <c r="CK12" s="2706"/>
      <c r="CL12" s="2706"/>
      <c r="CM12" s="2706"/>
      <c r="CN12" s="2706"/>
      <c r="CO12" s="2706"/>
      <c r="CP12" s="2706"/>
      <c r="CQ12" s="2707"/>
      <c r="CR12" s="2706"/>
      <c r="CS12" s="2706"/>
      <c r="CT12" s="2708"/>
      <c r="CU12" s="2706"/>
      <c r="CV12" s="2706"/>
      <c r="CX12" s="1937" t="s">
        <v>955</v>
      </c>
      <c r="CY12" s="1941" t="s">
        <v>956</v>
      </c>
      <c r="CZ12" s="1942"/>
      <c r="DA12" s="2924">
        <f t="shared" si="29"/>
        <v>0</v>
      </c>
      <c r="DB12" s="2695"/>
      <c r="DC12" s="2695"/>
      <c r="DD12" s="2695"/>
      <c r="DE12" s="2695"/>
      <c r="DF12" s="2695"/>
      <c r="DG12" s="2695"/>
      <c r="DH12" s="2904"/>
      <c r="DI12" s="2695"/>
      <c r="DJ12" s="2695"/>
      <c r="DK12" s="2905"/>
      <c r="DL12" s="2695"/>
      <c r="DM12" s="2695"/>
    </row>
    <row r="13" spans="2:117" hidden="1">
      <c r="B13" s="1916" t="str">
        <f t="shared" si="0"/>
        <v>1.1.2</v>
      </c>
      <c r="C13" s="1938">
        <f t="shared" si="1"/>
        <v>0</v>
      </c>
      <c r="D13" s="1935" t="e">
        <f>IF(I$11=0,0,G13/I$11)</f>
        <v>#DIV/0!</v>
      </c>
      <c r="E13" s="1935" t="e">
        <f>IF(J$11=0,0,H13/J$11)</f>
        <v>#DIV/0!</v>
      </c>
      <c r="G13" s="1936" t="e">
        <f t="shared" si="2"/>
        <v>#DIV/0!</v>
      </c>
      <c r="H13" s="1936" t="e">
        <f t="shared" si="3"/>
        <v>#DIV/0!</v>
      </c>
      <c r="I13" s="1926"/>
      <c r="J13" s="1926"/>
      <c r="K13" s="1936">
        <f>IF(スコア!O13=0,0,1)</f>
        <v>0</v>
      </c>
      <c r="L13" s="1936">
        <f>IF(スコア!R13=0,0,1)</f>
        <v>0</v>
      </c>
      <c r="M13" s="1936" t="e">
        <f t="shared" si="4"/>
        <v>#DIV/0!</v>
      </c>
      <c r="N13" s="1936" t="e">
        <f t="shared" si="5"/>
        <v>#DIV/0!</v>
      </c>
      <c r="P13" s="1937" t="str">
        <f t="shared" si="6"/>
        <v>1.1.2</v>
      </c>
      <c r="Q13" s="1937" t="str">
        <f t="shared" si="7"/>
        <v xml:space="preserve"> Q1 1.1</v>
      </c>
      <c r="R13" s="1938">
        <f t="shared" si="8"/>
        <v>0</v>
      </c>
      <c r="S13" s="2799">
        <f t="shared" si="16"/>
        <v>0</v>
      </c>
      <c r="T13" s="2799">
        <f t="shared" si="9"/>
        <v>0</v>
      </c>
      <c r="U13" s="2799">
        <f t="shared" si="9"/>
        <v>0</v>
      </c>
      <c r="V13" s="2799">
        <f t="shared" si="9"/>
        <v>0</v>
      </c>
      <c r="W13" s="2799">
        <f t="shared" si="9"/>
        <v>0</v>
      </c>
      <c r="X13" s="2799">
        <f t="shared" si="9"/>
        <v>0</v>
      </c>
      <c r="Y13" s="2799">
        <f t="shared" si="9"/>
        <v>0</v>
      </c>
      <c r="Z13" s="2799">
        <f t="shared" si="9"/>
        <v>0</v>
      </c>
      <c r="AA13" s="2799">
        <f t="shared" si="17"/>
        <v>0</v>
      </c>
      <c r="AB13" s="2799">
        <f t="shared" si="10"/>
        <v>0</v>
      </c>
      <c r="AC13" s="2800">
        <f t="shared" si="11"/>
        <v>0</v>
      </c>
      <c r="AD13" s="2799">
        <f t="shared" si="12"/>
        <v>0</v>
      </c>
      <c r="AE13" s="2799">
        <f t="shared" si="18"/>
        <v>0</v>
      </c>
      <c r="AG13" s="1937" t="s">
        <v>958</v>
      </c>
      <c r="AH13" s="1941" t="s">
        <v>956</v>
      </c>
      <c r="AI13" s="1942" t="s">
        <v>959</v>
      </c>
      <c r="AJ13" s="1939">
        <v>0.6</v>
      </c>
      <c r="AK13" s="1939"/>
      <c r="AL13" s="1939"/>
      <c r="AM13" s="1939"/>
      <c r="AN13" s="1939">
        <v>0.6</v>
      </c>
      <c r="AO13" s="1939"/>
      <c r="AP13" s="1939"/>
      <c r="AQ13" s="1939"/>
      <c r="AR13" s="1939">
        <v>0.6</v>
      </c>
      <c r="AS13" s="1944"/>
      <c r="AT13" s="1945">
        <v>0.6</v>
      </c>
      <c r="AU13" s="1944"/>
      <c r="AV13" s="1944"/>
      <c r="AX13" s="1937" t="s">
        <v>958</v>
      </c>
      <c r="AY13" s="1941" t="s">
        <v>956</v>
      </c>
      <c r="AZ13" s="1942" t="s">
        <v>959</v>
      </c>
      <c r="BA13" s="1944"/>
      <c r="BB13" s="1944"/>
      <c r="BC13" s="1944"/>
      <c r="BD13" s="1944"/>
      <c r="BE13" s="1944"/>
      <c r="BF13" s="1944"/>
      <c r="BG13" s="1944"/>
      <c r="BH13" s="1946"/>
      <c r="BI13" s="1944"/>
      <c r="BJ13" s="1944"/>
      <c r="BK13" s="1945"/>
      <c r="BL13" s="1944"/>
      <c r="BM13" s="1944"/>
      <c r="BO13" s="1937" t="s">
        <v>958</v>
      </c>
      <c r="BP13" s="1941" t="s">
        <v>956</v>
      </c>
      <c r="BQ13" s="1942"/>
      <c r="BR13" s="1944"/>
      <c r="BS13" s="1944"/>
      <c r="BT13" s="1944"/>
      <c r="BU13" s="1944"/>
      <c r="BV13" s="1944"/>
      <c r="BW13" s="1944"/>
      <c r="BX13" s="1944"/>
      <c r="BY13" s="2454"/>
      <c r="BZ13" s="1944"/>
      <c r="CA13" s="1944"/>
      <c r="CB13" s="1945"/>
      <c r="CC13" s="1944"/>
      <c r="CD13" s="1944"/>
      <c r="CE13" s="2272"/>
      <c r="CG13" s="1937" t="s">
        <v>958</v>
      </c>
      <c r="CH13" s="1941" t="s">
        <v>956</v>
      </c>
      <c r="CI13" s="1942"/>
      <c r="CJ13" s="2706"/>
      <c r="CK13" s="2706"/>
      <c r="CL13" s="2706"/>
      <c r="CM13" s="2706"/>
      <c r="CN13" s="2706"/>
      <c r="CO13" s="2706"/>
      <c r="CP13" s="2706"/>
      <c r="CQ13" s="2707"/>
      <c r="CR13" s="2706"/>
      <c r="CS13" s="2706"/>
      <c r="CT13" s="2708"/>
      <c r="CU13" s="2706"/>
      <c r="CV13" s="2706"/>
      <c r="CX13" s="1937" t="s">
        <v>958</v>
      </c>
      <c r="CY13" s="1941" t="s">
        <v>956</v>
      </c>
      <c r="CZ13" s="1942"/>
      <c r="DA13" s="2924">
        <f t="shared" si="29"/>
        <v>0</v>
      </c>
      <c r="DB13" s="2695"/>
      <c r="DC13" s="2695"/>
      <c r="DD13" s="2695"/>
      <c r="DE13" s="2695"/>
      <c r="DF13" s="2695"/>
      <c r="DG13" s="2695"/>
      <c r="DH13" s="2904"/>
      <c r="DI13" s="2695"/>
      <c r="DJ13" s="2695"/>
      <c r="DK13" s="2905"/>
      <c r="DL13" s="2695"/>
      <c r="DM13" s="2695"/>
    </row>
    <row r="14" spans="2:117">
      <c r="B14" s="1916">
        <f t="shared" si="0"/>
        <v>1.2</v>
      </c>
      <c r="C14" s="2999" t="str">
        <f t="shared" si="1"/>
        <v>遮音</v>
      </c>
      <c r="D14" s="1935" t="e">
        <f>IF(I$10=0,0,G14/I$10)</f>
        <v>#DIV/0!</v>
      </c>
      <c r="E14" s="1935" t="e">
        <f>IF(J$10=0,0,H14/J$10)</f>
        <v>#DIV/0!</v>
      </c>
      <c r="G14" s="1936" t="e">
        <f t="shared" si="2"/>
        <v>#DIV/0!</v>
      </c>
      <c r="H14" s="1936" t="e">
        <f t="shared" si="3"/>
        <v>#DIV/0!</v>
      </c>
      <c r="I14" s="1926" t="e">
        <f>SUM(G15:G18)</f>
        <v>#DIV/0!</v>
      </c>
      <c r="J14" s="1926" t="e">
        <f>SUM(H15:H18)</f>
        <v>#DIV/0!</v>
      </c>
      <c r="K14" s="1936" t="e">
        <f>IF(スコア!O14=0,0,1)</f>
        <v>#DIV/0!</v>
      </c>
      <c r="L14" s="1936" t="e">
        <f>IF(スコア!R14=0,0,1)</f>
        <v>#DIV/0!</v>
      </c>
      <c r="M14" s="1936" t="e">
        <f t="shared" si="4"/>
        <v>#DIV/0!</v>
      </c>
      <c r="N14" s="1936" t="e">
        <f t="shared" si="5"/>
        <v>#DIV/0!</v>
      </c>
      <c r="P14" s="1937">
        <f t="shared" si="6"/>
        <v>1.2</v>
      </c>
      <c r="Q14" s="1937" t="str">
        <f t="shared" si="7"/>
        <v xml:space="preserve"> Q1 1</v>
      </c>
      <c r="R14" s="1938" t="str">
        <f t="shared" si="8"/>
        <v>遮音</v>
      </c>
      <c r="S14" s="2799">
        <f t="shared" si="16"/>
        <v>0.4</v>
      </c>
      <c r="T14" s="2799">
        <f t="shared" si="9"/>
        <v>0.4</v>
      </c>
      <c r="U14" s="2799">
        <f t="shared" si="9"/>
        <v>0.4</v>
      </c>
      <c r="V14" s="2799">
        <f t="shared" si="9"/>
        <v>0.4</v>
      </c>
      <c r="W14" s="2799">
        <f t="shared" si="9"/>
        <v>0.4</v>
      </c>
      <c r="X14" s="2799">
        <f t="shared" si="9"/>
        <v>0.4</v>
      </c>
      <c r="Y14" s="2799">
        <f t="shared" si="9"/>
        <v>0.5</v>
      </c>
      <c r="Z14" s="2799">
        <f t="shared" si="9"/>
        <v>0.4</v>
      </c>
      <c r="AA14" s="2799">
        <f t="shared" si="17"/>
        <v>0.4</v>
      </c>
      <c r="AB14" s="2799">
        <f t="shared" si="10"/>
        <v>0.4</v>
      </c>
      <c r="AC14" s="2800">
        <f t="shared" si="11"/>
        <v>0.4</v>
      </c>
      <c r="AD14" s="2799">
        <f t="shared" si="12"/>
        <v>0.4</v>
      </c>
      <c r="AE14" s="2799">
        <f t="shared" si="18"/>
        <v>0.5</v>
      </c>
      <c r="AG14" s="1937">
        <v>1.2</v>
      </c>
      <c r="AH14" s="1941" t="s">
        <v>954</v>
      </c>
      <c r="AI14" s="1382" t="s">
        <v>2825</v>
      </c>
      <c r="AJ14" s="1943">
        <v>0.4</v>
      </c>
      <c r="AK14" s="1939">
        <v>0.4</v>
      </c>
      <c r="AL14" s="1939"/>
      <c r="AM14" s="1939">
        <v>0.4</v>
      </c>
      <c r="AN14" s="1943">
        <v>0.4</v>
      </c>
      <c r="AO14" s="1939"/>
      <c r="AP14" s="1939"/>
      <c r="AQ14" s="1939"/>
      <c r="AR14" s="1943">
        <v>0.5</v>
      </c>
      <c r="AS14" s="1944">
        <v>0.4</v>
      </c>
      <c r="AT14" s="1945">
        <v>0.5</v>
      </c>
      <c r="AU14" s="1944">
        <v>0.4</v>
      </c>
      <c r="AV14" s="1947">
        <v>0.4</v>
      </c>
      <c r="AX14" s="1937">
        <v>1.2</v>
      </c>
      <c r="AY14" s="1941" t="s">
        <v>954</v>
      </c>
      <c r="AZ14" s="1382" t="s">
        <v>2825</v>
      </c>
      <c r="BA14" s="1944">
        <v>0.7</v>
      </c>
      <c r="BB14" s="1944">
        <v>0.7</v>
      </c>
      <c r="BC14" s="1944">
        <v>0.7</v>
      </c>
      <c r="BD14" s="1944">
        <v>0.7</v>
      </c>
      <c r="BE14" s="1944">
        <v>0.7</v>
      </c>
      <c r="BF14" s="1944">
        <v>0.7</v>
      </c>
      <c r="BG14" s="1944">
        <v>1</v>
      </c>
      <c r="BH14" s="1946">
        <v>0.4</v>
      </c>
      <c r="BI14" s="1944">
        <v>0.7</v>
      </c>
      <c r="BJ14" s="1944">
        <v>0.7</v>
      </c>
      <c r="BK14" s="1945">
        <v>0.7</v>
      </c>
      <c r="BL14" s="1944">
        <v>0.7</v>
      </c>
      <c r="BM14" s="1944">
        <v>1</v>
      </c>
      <c r="BO14" s="1937">
        <v>1.2</v>
      </c>
      <c r="BP14" s="1941" t="s">
        <v>954</v>
      </c>
      <c r="BQ14" s="1382" t="s">
        <v>2825</v>
      </c>
      <c r="BR14" s="1944">
        <v>0.4</v>
      </c>
      <c r="BS14" s="1944">
        <v>0.4</v>
      </c>
      <c r="BT14" s="1944">
        <v>0.4</v>
      </c>
      <c r="BU14" s="1944">
        <v>0.4</v>
      </c>
      <c r="BV14" s="1944">
        <v>0.4</v>
      </c>
      <c r="BW14" s="1944">
        <v>0.4</v>
      </c>
      <c r="BX14" s="1944">
        <v>0.5</v>
      </c>
      <c r="BY14" s="2454">
        <v>0.4</v>
      </c>
      <c r="BZ14" s="1944">
        <v>0.4</v>
      </c>
      <c r="CA14" s="1944">
        <v>0.4</v>
      </c>
      <c r="CB14" s="1944">
        <v>0.4</v>
      </c>
      <c r="CC14" s="1944">
        <v>0.4</v>
      </c>
      <c r="CD14" s="1944">
        <v>0.5</v>
      </c>
      <c r="CE14" s="2272"/>
      <c r="CG14" s="1937">
        <v>1.2</v>
      </c>
      <c r="CH14" s="1941" t="s">
        <v>954</v>
      </c>
      <c r="CI14" s="1382" t="s">
        <v>2825</v>
      </c>
      <c r="CJ14" s="2695">
        <v>0.67</v>
      </c>
      <c r="CK14" s="2695">
        <v>0.67</v>
      </c>
      <c r="CL14" s="2695">
        <v>0.67</v>
      </c>
      <c r="CM14" s="2695">
        <v>0.67</v>
      </c>
      <c r="CN14" s="2695">
        <v>0.67</v>
      </c>
      <c r="CO14" s="2695">
        <v>0.67</v>
      </c>
      <c r="CP14" s="2695">
        <v>1</v>
      </c>
      <c r="CQ14" s="2695">
        <v>0.67</v>
      </c>
      <c r="CR14" s="2695">
        <v>0.67</v>
      </c>
      <c r="CS14" s="2695">
        <v>0.67</v>
      </c>
      <c r="CT14" s="2695">
        <v>0.67</v>
      </c>
      <c r="CU14" s="2695">
        <v>0.67</v>
      </c>
      <c r="CV14" s="2695">
        <v>1</v>
      </c>
      <c r="CX14" s="1937">
        <v>1.2</v>
      </c>
      <c r="CY14" s="1941" t="s">
        <v>954</v>
      </c>
      <c r="CZ14" s="1382" t="s">
        <v>2825</v>
      </c>
      <c r="DA14" s="2924">
        <v>0</v>
      </c>
      <c r="DB14" s="2695"/>
      <c r="DC14" s="2695"/>
      <c r="DD14" s="2695"/>
      <c r="DE14" s="2695"/>
      <c r="DF14" s="2695"/>
      <c r="DG14" s="2695"/>
      <c r="DH14" s="2695"/>
      <c r="DI14" s="2695"/>
      <c r="DJ14" s="2695"/>
      <c r="DK14" s="2695"/>
      <c r="DL14" s="2695"/>
      <c r="DM14" s="2695"/>
    </row>
    <row r="15" spans="2:117">
      <c r="B15" s="1916" t="str">
        <f t="shared" si="0"/>
        <v>1.2.1</v>
      </c>
      <c r="C15" s="2999" t="str">
        <f t="shared" si="1"/>
        <v>開口部遮音性能</v>
      </c>
      <c r="D15" s="1935" t="e">
        <f>IF(I$14=0,0,G15/I$14)</f>
        <v>#DIV/0!</v>
      </c>
      <c r="E15" s="1935" t="e">
        <f>IF(J$14=0,0,H15/J$14)</f>
        <v>#DIV/0!</v>
      </c>
      <c r="G15" s="1936" t="e">
        <f t="shared" si="2"/>
        <v>#DIV/0!</v>
      </c>
      <c r="H15" s="1936" t="e">
        <f t="shared" si="3"/>
        <v>#DIV/0!</v>
      </c>
      <c r="I15" s="1926"/>
      <c r="J15" s="1926"/>
      <c r="K15" s="1936">
        <f>IF(スコア!O15=0,0,1)</f>
        <v>1</v>
      </c>
      <c r="L15" s="1936">
        <f>IF(スコア!R15=0,0,1)</f>
        <v>1</v>
      </c>
      <c r="M15" s="1936" t="e">
        <f t="shared" si="4"/>
        <v>#DIV/0!</v>
      </c>
      <c r="N15" s="1936" t="e">
        <f t="shared" si="5"/>
        <v>#DIV/0!</v>
      </c>
      <c r="P15" s="1937" t="str">
        <f t="shared" si="6"/>
        <v>1.2.1</v>
      </c>
      <c r="Q15" s="1937" t="str">
        <f t="shared" si="7"/>
        <v xml:space="preserve"> Q1 1.2</v>
      </c>
      <c r="R15" s="1938" t="str">
        <f t="shared" si="8"/>
        <v>開口部遮音性能</v>
      </c>
      <c r="S15" s="2799">
        <f t="shared" si="16"/>
        <v>0.6</v>
      </c>
      <c r="T15" s="2799">
        <f t="shared" si="9"/>
        <v>0.3</v>
      </c>
      <c r="U15" s="2799">
        <f t="shared" si="9"/>
        <v>1</v>
      </c>
      <c r="V15" s="2799">
        <f t="shared" si="9"/>
        <v>0.6</v>
      </c>
      <c r="W15" s="2799">
        <f t="shared" si="9"/>
        <v>0.4</v>
      </c>
      <c r="X15" s="2799">
        <f t="shared" si="9"/>
        <v>1</v>
      </c>
      <c r="Y15" s="2799">
        <f t="shared" si="9"/>
        <v>1</v>
      </c>
      <c r="Z15" s="2801">
        <f t="shared" si="9"/>
        <v>1</v>
      </c>
      <c r="AA15" s="2799">
        <f t="shared" si="17"/>
        <v>0.6</v>
      </c>
      <c r="AB15" s="2799">
        <f t="shared" si="10"/>
        <v>0.3</v>
      </c>
      <c r="AC15" s="2800">
        <f t="shared" si="11"/>
        <v>0.3</v>
      </c>
      <c r="AD15" s="2799">
        <f t="shared" si="12"/>
        <v>0.3</v>
      </c>
      <c r="AE15" s="2799">
        <f t="shared" si="18"/>
        <v>0.3</v>
      </c>
      <c r="AG15" s="1937" t="s">
        <v>260</v>
      </c>
      <c r="AH15" s="1941" t="s">
        <v>960</v>
      </c>
      <c r="AI15" s="1382" t="s">
        <v>261</v>
      </c>
      <c r="AJ15" s="1949"/>
      <c r="AK15" s="1949"/>
      <c r="AL15" s="1949"/>
      <c r="AM15" s="1949"/>
      <c r="AN15" s="1949"/>
      <c r="AO15" s="1949"/>
      <c r="AP15" s="1949"/>
      <c r="AQ15" s="1949"/>
      <c r="AR15" s="1949"/>
      <c r="AS15" s="1944"/>
      <c r="AT15" s="1945"/>
      <c r="AU15" s="1944"/>
      <c r="AV15" s="1944"/>
      <c r="AX15" s="1937" t="s">
        <v>260</v>
      </c>
      <c r="AY15" s="1941" t="s">
        <v>960</v>
      </c>
      <c r="AZ15" s="1382" t="s">
        <v>261</v>
      </c>
      <c r="BA15" s="1944">
        <v>0.6</v>
      </c>
      <c r="BB15" s="1944">
        <v>0.4</v>
      </c>
      <c r="BC15" s="1944">
        <v>1</v>
      </c>
      <c r="BD15" s="1944">
        <v>0.6</v>
      </c>
      <c r="BE15" s="1944">
        <v>0.4</v>
      </c>
      <c r="BF15" s="1944">
        <v>1</v>
      </c>
      <c r="BG15" s="1944">
        <v>1</v>
      </c>
      <c r="BH15" s="1946">
        <v>1</v>
      </c>
      <c r="BI15" s="1944">
        <v>0.6</v>
      </c>
      <c r="BJ15" s="1944">
        <v>0.4</v>
      </c>
      <c r="BK15" s="1945">
        <v>0.3</v>
      </c>
      <c r="BL15" s="1944">
        <v>0.3</v>
      </c>
      <c r="BM15" s="1944">
        <v>0.3</v>
      </c>
      <c r="BO15" s="1937" t="s">
        <v>260</v>
      </c>
      <c r="BP15" s="1941" t="s">
        <v>960</v>
      </c>
      <c r="BQ15" s="1382" t="s">
        <v>261</v>
      </c>
      <c r="BR15" s="1944">
        <v>0.6</v>
      </c>
      <c r="BS15" s="1944">
        <v>0.3</v>
      </c>
      <c r="BT15" s="1944">
        <v>1</v>
      </c>
      <c r="BU15" s="1944">
        <v>0.6</v>
      </c>
      <c r="BV15" s="1944">
        <v>0.4</v>
      </c>
      <c r="BW15" s="1944">
        <v>1</v>
      </c>
      <c r="BX15" s="1944">
        <v>1</v>
      </c>
      <c r="BY15" s="2455">
        <v>1</v>
      </c>
      <c r="BZ15" s="1944">
        <v>0.6</v>
      </c>
      <c r="CA15" s="1944">
        <v>0.3</v>
      </c>
      <c r="CB15" s="1944">
        <v>0.3</v>
      </c>
      <c r="CC15" s="1944">
        <v>0.3</v>
      </c>
      <c r="CD15" s="1944">
        <v>0.3</v>
      </c>
      <c r="CE15" s="2272"/>
      <c r="CG15" s="1937" t="s">
        <v>260</v>
      </c>
      <c r="CH15" s="1941" t="s">
        <v>960</v>
      </c>
      <c r="CI15" s="1382" t="s">
        <v>261</v>
      </c>
      <c r="CJ15" s="2706">
        <f t="shared" si="19"/>
        <v>0.6</v>
      </c>
      <c r="CK15" s="2706">
        <f t="shared" si="20"/>
        <v>0.3</v>
      </c>
      <c r="CL15" s="2706">
        <f t="shared" si="21"/>
        <v>1</v>
      </c>
      <c r="CM15" s="2706">
        <f t="shared" si="22"/>
        <v>0.6</v>
      </c>
      <c r="CN15" s="2706">
        <f t="shared" si="23"/>
        <v>0.4</v>
      </c>
      <c r="CO15" s="2706">
        <f t="shared" si="24"/>
        <v>1</v>
      </c>
      <c r="CP15" s="2706">
        <f t="shared" si="25"/>
        <v>1</v>
      </c>
      <c r="CQ15" s="2707">
        <f t="shared" si="26"/>
        <v>1</v>
      </c>
      <c r="CR15" s="2706">
        <f t="shared" si="27"/>
        <v>0.6</v>
      </c>
      <c r="CS15" s="2706">
        <f t="shared" si="28"/>
        <v>0.3</v>
      </c>
      <c r="CT15" s="2706">
        <f t="shared" si="13"/>
        <v>0.3</v>
      </c>
      <c r="CU15" s="2706">
        <f t="shared" si="14"/>
        <v>0.3</v>
      </c>
      <c r="CV15" s="2706">
        <f t="shared" si="15"/>
        <v>0.3</v>
      </c>
      <c r="CX15" s="1937" t="s">
        <v>260</v>
      </c>
      <c r="CY15" s="1941" t="s">
        <v>960</v>
      </c>
      <c r="CZ15" s="1382" t="s">
        <v>261</v>
      </c>
      <c r="DA15" s="2924">
        <v>0</v>
      </c>
      <c r="DB15" s="2695"/>
      <c r="DC15" s="2695"/>
      <c r="DD15" s="2695"/>
      <c r="DE15" s="2695"/>
      <c r="DF15" s="2695"/>
      <c r="DG15" s="2695"/>
      <c r="DH15" s="2904"/>
      <c r="DI15" s="2695"/>
      <c r="DJ15" s="2695"/>
      <c r="DK15" s="2695"/>
      <c r="DL15" s="2695"/>
      <c r="DM15" s="2695"/>
    </row>
    <row r="16" spans="2:117">
      <c r="B16" s="1916" t="str">
        <f t="shared" si="0"/>
        <v>1.2.2</v>
      </c>
      <c r="C16" s="2999" t="str">
        <f t="shared" si="1"/>
        <v>界壁遮音性能</v>
      </c>
      <c r="D16" s="1935" t="e">
        <f t="shared" ref="D16:E18" si="30">IF(I$14=0,0,G16/I$14)</f>
        <v>#DIV/0!</v>
      </c>
      <c r="E16" s="1935" t="e">
        <f t="shared" si="30"/>
        <v>#DIV/0!</v>
      </c>
      <c r="G16" s="1936" t="e">
        <f t="shared" si="2"/>
        <v>#DIV/0!</v>
      </c>
      <c r="H16" s="1936" t="e">
        <f t="shared" si="3"/>
        <v>#DIV/0!</v>
      </c>
      <c r="I16" s="1936"/>
      <c r="J16" s="1936"/>
      <c r="K16" s="1936">
        <f>IF(スコア!O16=0,0,1)</f>
        <v>1</v>
      </c>
      <c r="L16" s="1936">
        <f>IF(スコア!R16=0,0,1)</f>
        <v>1</v>
      </c>
      <c r="M16" s="1936" t="e">
        <f t="shared" si="4"/>
        <v>#DIV/0!</v>
      </c>
      <c r="N16" s="1936" t="e">
        <f t="shared" si="5"/>
        <v>#DIV/0!</v>
      </c>
      <c r="P16" s="1937" t="str">
        <f t="shared" si="6"/>
        <v>1.2.2</v>
      </c>
      <c r="Q16" s="1937" t="str">
        <f t="shared" si="7"/>
        <v xml:space="preserve"> Q1 1.2</v>
      </c>
      <c r="R16" s="1938" t="str">
        <f t="shared" si="8"/>
        <v>界壁遮音性能</v>
      </c>
      <c r="S16" s="2799">
        <f t="shared" si="16"/>
        <v>0.4</v>
      </c>
      <c r="T16" s="2799">
        <f t="shared" si="9"/>
        <v>0.3</v>
      </c>
      <c r="U16" s="2799">
        <f t="shared" si="9"/>
        <v>0</v>
      </c>
      <c r="V16" s="2799">
        <f t="shared" si="9"/>
        <v>0.4</v>
      </c>
      <c r="W16" s="2799">
        <f t="shared" si="9"/>
        <v>0.6</v>
      </c>
      <c r="X16" s="2799">
        <f t="shared" si="9"/>
        <v>0</v>
      </c>
      <c r="Y16" s="2799">
        <f t="shared" si="9"/>
        <v>0</v>
      </c>
      <c r="Z16" s="2801">
        <f t="shared" si="9"/>
        <v>0</v>
      </c>
      <c r="AA16" s="2799">
        <f t="shared" si="17"/>
        <v>0.4</v>
      </c>
      <c r="AB16" s="2799">
        <f t="shared" si="10"/>
        <v>0.3</v>
      </c>
      <c r="AC16" s="2800">
        <f t="shared" si="11"/>
        <v>0.3</v>
      </c>
      <c r="AD16" s="2799">
        <f t="shared" si="12"/>
        <v>0.3</v>
      </c>
      <c r="AE16" s="2799">
        <f t="shared" si="18"/>
        <v>0.3</v>
      </c>
      <c r="AG16" s="1937" t="s">
        <v>262</v>
      </c>
      <c r="AH16" s="1941" t="s">
        <v>960</v>
      </c>
      <c r="AI16" s="1382" t="s">
        <v>737</v>
      </c>
      <c r="AJ16" s="1950">
        <v>1</v>
      </c>
      <c r="AK16" s="1944">
        <v>0.4</v>
      </c>
      <c r="AL16" s="1944"/>
      <c r="AM16" s="1944">
        <v>1</v>
      </c>
      <c r="AN16" s="1950">
        <v>0.4</v>
      </c>
      <c r="AO16" s="1944"/>
      <c r="AP16" s="1944"/>
      <c r="AQ16" s="1951"/>
      <c r="AR16" s="1950">
        <v>1</v>
      </c>
      <c r="AS16" s="1944">
        <v>0.4</v>
      </c>
      <c r="AT16" s="1945">
        <v>1</v>
      </c>
      <c r="AU16" s="1944">
        <v>0.4</v>
      </c>
      <c r="AV16" s="1944">
        <v>0.4</v>
      </c>
      <c r="AX16" s="1937" t="s">
        <v>262</v>
      </c>
      <c r="AY16" s="1941" t="s">
        <v>960</v>
      </c>
      <c r="AZ16" s="1382" t="s">
        <v>737</v>
      </c>
      <c r="BA16" s="1944">
        <v>0.4</v>
      </c>
      <c r="BB16" s="1944">
        <v>0.3</v>
      </c>
      <c r="BC16" s="1944"/>
      <c r="BD16" s="1944">
        <v>0.4</v>
      </c>
      <c r="BE16" s="1944">
        <v>0.6</v>
      </c>
      <c r="BF16" s="1944"/>
      <c r="BG16" s="1944"/>
      <c r="BH16" s="1946"/>
      <c r="BI16" s="1944">
        <v>0.4</v>
      </c>
      <c r="BJ16" s="1944">
        <v>0.3</v>
      </c>
      <c r="BK16" s="1945">
        <v>0.3</v>
      </c>
      <c r="BL16" s="1944">
        <v>0.3</v>
      </c>
      <c r="BM16" s="1944">
        <v>0.3</v>
      </c>
      <c r="BO16" s="1937" t="s">
        <v>262</v>
      </c>
      <c r="BP16" s="1941" t="s">
        <v>960</v>
      </c>
      <c r="BQ16" s="1382" t="s">
        <v>737</v>
      </c>
      <c r="BR16" s="1944">
        <v>0.4</v>
      </c>
      <c r="BS16" s="1944">
        <v>0.3</v>
      </c>
      <c r="BT16" s="1944"/>
      <c r="BU16" s="1944">
        <v>0.4</v>
      </c>
      <c r="BV16" s="1944">
        <v>0.6</v>
      </c>
      <c r="BW16" s="1944"/>
      <c r="BX16" s="1944"/>
      <c r="BY16" s="2454"/>
      <c r="BZ16" s="1944">
        <v>0.4</v>
      </c>
      <c r="CA16" s="1944">
        <v>0.3</v>
      </c>
      <c r="CB16" s="1944">
        <v>0.3</v>
      </c>
      <c r="CC16" s="1944">
        <v>0.3</v>
      </c>
      <c r="CD16" s="1944">
        <v>0.3</v>
      </c>
      <c r="CE16" s="2272"/>
      <c r="CG16" s="1937" t="s">
        <v>262</v>
      </c>
      <c r="CH16" s="1941" t="s">
        <v>960</v>
      </c>
      <c r="CI16" s="1382" t="s">
        <v>737</v>
      </c>
      <c r="CJ16" s="2706">
        <f t="shared" si="19"/>
        <v>0.4</v>
      </c>
      <c r="CK16" s="2706">
        <f t="shared" si="20"/>
        <v>0.3</v>
      </c>
      <c r="CL16" s="2706">
        <f t="shared" si="21"/>
        <v>0</v>
      </c>
      <c r="CM16" s="2706">
        <f t="shared" si="22"/>
        <v>0.4</v>
      </c>
      <c r="CN16" s="2706">
        <f t="shared" si="23"/>
        <v>0.6</v>
      </c>
      <c r="CO16" s="2706">
        <f t="shared" si="24"/>
        <v>0</v>
      </c>
      <c r="CP16" s="2706">
        <f t="shared" si="25"/>
        <v>0</v>
      </c>
      <c r="CQ16" s="2707">
        <f t="shared" si="26"/>
        <v>0</v>
      </c>
      <c r="CR16" s="2706">
        <f t="shared" si="27"/>
        <v>0.4</v>
      </c>
      <c r="CS16" s="2706">
        <f t="shared" si="28"/>
        <v>0.3</v>
      </c>
      <c r="CT16" s="2706">
        <f t="shared" si="13"/>
        <v>0.3</v>
      </c>
      <c r="CU16" s="2706">
        <f t="shared" si="14"/>
        <v>0.3</v>
      </c>
      <c r="CV16" s="2706">
        <f t="shared" si="15"/>
        <v>0.3</v>
      </c>
      <c r="CX16" s="1937" t="s">
        <v>262</v>
      </c>
      <c r="CY16" s="1941" t="s">
        <v>960</v>
      </c>
      <c r="CZ16" s="1382" t="s">
        <v>737</v>
      </c>
      <c r="DA16" s="2924">
        <v>0</v>
      </c>
      <c r="DB16" s="2695"/>
      <c r="DC16" s="2695"/>
      <c r="DD16" s="2695"/>
      <c r="DE16" s="2695"/>
      <c r="DF16" s="2695"/>
      <c r="DG16" s="2695"/>
      <c r="DH16" s="2904"/>
      <c r="DI16" s="2695"/>
      <c r="DJ16" s="2695"/>
      <c r="DK16" s="2695"/>
      <c r="DL16" s="2695"/>
      <c r="DM16" s="2695"/>
    </row>
    <row r="17" spans="2:117">
      <c r="B17" s="1916" t="str">
        <f t="shared" si="0"/>
        <v>1.2.3</v>
      </c>
      <c r="C17" s="2999" t="str">
        <f t="shared" si="1"/>
        <v>界床遮音性能（軽量衝撃源）</v>
      </c>
      <c r="D17" s="1935" t="e">
        <f t="shared" si="30"/>
        <v>#DIV/0!</v>
      </c>
      <c r="E17" s="1935" t="e">
        <f t="shared" si="30"/>
        <v>#DIV/0!</v>
      </c>
      <c r="G17" s="1936" t="e">
        <f t="shared" si="2"/>
        <v>#DIV/0!</v>
      </c>
      <c r="H17" s="1936" t="e">
        <f t="shared" si="3"/>
        <v>#DIV/0!</v>
      </c>
      <c r="I17" s="1936"/>
      <c r="J17" s="1936"/>
      <c r="K17" s="1936">
        <f>IF(スコア!O17=0,0,1)</f>
        <v>1</v>
      </c>
      <c r="L17" s="1936">
        <f>IF(スコア!R17=0,0,1)</f>
        <v>1</v>
      </c>
      <c r="M17" s="1936" t="e">
        <f t="shared" si="4"/>
        <v>#DIV/0!</v>
      </c>
      <c r="N17" s="1936" t="e">
        <f t="shared" si="5"/>
        <v>#DIV/0!</v>
      </c>
      <c r="P17" s="1937" t="str">
        <f t="shared" si="6"/>
        <v>1.2.3</v>
      </c>
      <c r="Q17" s="1937" t="str">
        <f t="shared" si="7"/>
        <v xml:space="preserve"> Q1 1.2</v>
      </c>
      <c r="R17" s="1938" t="str">
        <f t="shared" si="8"/>
        <v>界床遮音性能（軽量衝撃源）</v>
      </c>
      <c r="S17" s="2799">
        <f t="shared" si="16"/>
        <v>0</v>
      </c>
      <c r="T17" s="2799">
        <f t="shared" si="9"/>
        <v>0.2</v>
      </c>
      <c r="U17" s="2799">
        <f t="shared" si="9"/>
        <v>0</v>
      </c>
      <c r="V17" s="2799">
        <f t="shared" si="9"/>
        <v>0</v>
      </c>
      <c r="W17" s="2799">
        <f t="shared" si="9"/>
        <v>0</v>
      </c>
      <c r="X17" s="2799">
        <f t="shared" si="9"/>
        <v>0</v>
      </c>
      <c r="Y17" s="2799">
        <f t="shared" si="9"/>
        <v>0</v>
      </c>
      <c r="Z17" s="2801">
        <f t="shared" si="9"/>
        <v>0</v>
      </c>
      <c r="AA17" s="2799">
        <f t="shared" si="17"/>
        <v>0</v>
      </c>
      <c r="AB17" s="2799">
        <f t="shared" si="10"/>
        <v>0.2</v>
      </c>
      <c r="AC17" s="2800">
        <f t="shared" si="11"/>
        <v>0.2</v>
      </c>
      <c r="AD17" s="2799">
        <f t="shared" si="12"/>
        <v>0.2</v>
      </c>
      <c r="AE17" s="2799">
        <f t="shared" si="18"/>
        <v>0.2</v>
      </c>
      <c r="AG17" s="1937" t="s">
        <v>263</v>
      </c>
      <c r="AH17" s="1941" t="s">
        <v>960</v>
      </c>
      <c r="AI17" s="1382" t="s">
        <v>738</v>
      </c>
      <c r="AJ17" s="1944"/>
      <c r="AK17" s="1944">
        <v>0.3</v>
      </c>
      <c r="AL17" s="1944"/>
      <c r="AM17" s="1944"/>
      <c r="AN17" s="1950">
        <v>0.6</v>
      </c>
      <c r="AO17" s="1944"/>
      <c r="AP17" s="1944"/>
      <c r="AQ17" s="1951"/>
      <c r="AR17" s="1944"/>
      <c r="AS17" s="1944">
        <v>0.3</v>
      </c>
      <c r="AT17" s="1945"/>
      <c r="AU17" s="1944">
        <v>0.3</v>
      </c>
      <c r="AV17" s="1944">
        <v>0.3</v>
      </c>
      <c r="AX17" s="1937" t="s">
        <v>263</v>
      </c>
      <c r="AY17" s="1941" t="s">
        <v>960</v>
      </c>
      <c r="AZ17" s="1382" t="s">
        <v>738</v>
      </c>
      <c r="BA17" s="1944"/>
      <c r="BB17" s="1944">
        <v>0.15</v>
      </c>
      <c r="BC17" s="1944"/>
      <c r="BD17" s="1944"/>
      <c r="BE17" s="1944"/>
      <c r="BF17" s="1944"/>
      <c r="BG17" s="1944"/>
      <c r="BH17" s="1946"/>
      <c r="BI17" s="1944"/>
      <c r="BJ17" s="1944">
        <v>0.15</v>
      </c>
      <c r="BK17" s="1945">
        <v>0.2</v>
      </c>
      <c r="BL17" s="1944">
        <v>0.2</v>
      </c>
      <c r="BM17" s="1944">
        <v>0.2</v>
      </c>
      <c r="BO17" s="1937" t="s">
        <v>263</v>
      </c>
      <c r="BP17" s="1941" t="s">
        <v>960</v>
      </c>
      <c r="BQ17" s="1382" t="s">
        <v>738</v>
      </c>
      <c r="BR17" s="1944"/>
      <c r="BS17" s="1944">
        <v>0.2</v>
      </c>
      <c r="BT17" s="1944"/>
      <c r="BU17" s="1944"/>
      <c r="BV17" s="1944"/>
      <c r="BW17" s="1944"/>
      <c r="BX17" s="1944"/>
      <c r="BY17" s="2456"/>
      <c r="BZ17" s="1944"/>
      <c r="CA17" s="1944">
        <v>0.2</v>
      </c>
      <c r="CB17" s="1945">
        <v>0.2</v>
      </c>
      <c r="CC17" s="1944">
        <v>0.2</v>
      </c>
      <c r="CD17" s="1944">
        <v>0.2</v>
      </c>
      <c r="CE17" s="2272"/>
      <c r="CG17" s="1937" t="s">
        <v>263</v>
      </c>
      <c r="CH17" s="1941" t="s">
        <v>960</v>
      </c>
      <c r="CI17" s="1382" t="s">
        <v>738</v>
      </c>
      <c r="CJ17" s="2706">
        <f t="shared" si="19"/>
        <v>0</v>
      </c>
      <c r="CK17" s="2706">
        <f t="shared" si="20"/>
        <v>0.2</v>
      </c>
      <c r="CL17" s="2706">
        <f t="shared" si="21"/>
        <v>0</v>
      </c>
      <c r="CM17" s="2706">
        <f t="shared" si="22"/>
        <v>0</v>
      </c>
      <c r="CN17" s="2706">
        <f t="shared" si="23"/>
        <v>0</v>
      </c>
      <c r="CO17" s="2706">
        <f t="shared" si="24"/>
        <v>0</v>
      </c>
      <c r="CP17" s="2706">
        <f t="shared" si="25"/>
        <v>0</v>
      </c>
      <c r="CQ17" s="2707">
        <f t="shared" si="26"/>
        <v>0</v>
      </c>
      <c r="CR17" s="2706">
        <f t="shared" si="27"/>
        <v>0</v>
      </c>
      <c r="CS17" s="2706">
        <f t="shared" si="28"/>
        <v>0.2</v>
      </c>
      <c r="CT17" s="2708">
        <f t="shared" si="13"/>
        <v>0.2</v>
      </c>
      <c r="CU17" s="2706">
        <f t="shared" si="14"/>
        <v>0.2</v>
      </c>
      <c r="CV17" s="2706">
        <f t="shared" si="15"/>
        <v>0.2</v>
      </c>
      <c r="CX17" s="1937" t="s">
        <v>263</v>
      </c>
      <c r="CY17" s="1941" t="s">
        <v>960</v>
      </c>
      <c r="CZ17" s="1382" t="s">
        <v>738</v>
      </c>
      <c r="DA17" s="2924">
        <v>0</v>
      </c>
      <c r="DB17" s="2695"/>
      <c r="DC17" s="2695"/>
      <c r="DD17" s="2695"/>
      <c r="DE17" s="2695"/>
      <c r="DF17" s="2695"/>
      <c r="DG17" s="2695"/>
      <c r="DH17" s="2904"/>
      <c r="DI17" s="2695"/>
      <c r="DJ17" s="2695"/>
      <c r="DK17" s="2905"/>
      <c r="DL17" s="2695"/>
      <c r="DM17" s="2695"/>
    </row>
    <row r="18" spans="2:117">
      <c r="B18" s="1916" t="str">
        <f t="shared" si="0"/>
        <v>1.2.4</v>
      </c>
      <c r="C18" s="2999" t="str">
        <f t="shared" si="1"/>
        <v>界床遮音性能（重量衝撃源）</v>
      </c>
      <c r="D18" s="1935" t="e">
        <f t="shared" si="30"/>
        <v>#DIV/0!</v>
      </c>
      <c r="E18" s="1935" t="e">
        <f t="shared" si="30"/>
        <v>#DIV/0!</v>
      </c>
      <c r="G18" s="1936" t="e">
        <f t="shared" si="2"/>
        <v>#DIV/0!</v>
      </c>
      <c r="H18" s="1936" t="e">
        <f t="shared" si="3"/>
        <v>#DIV/0!</v>
      </c>
      <c r="I18" s="1936"/>
      <c r="J18" s="1936"/>
      <c r="K18" s="1936">
        <f>IF(スコア!O18=0,0,1)</f>
        <v>1</v>
      </c>
      <c r="L18" s="1936">
        <f>IF(スコア!R18=0,0,1)</f>
        <v>1</v>
      </c>
      <c r="M18" s="1936" t="e">
        <f t="shared" si="4"/>
        <v>#DIV/0!</v>
      </c>
      <c r="N18" s="1936" t="e">
        <f t="shared" si="5"/>
        <v>#DIV/0!</v>
      </c>
      <c r="P18" s="1937" t="str">
        <f t="shared" si="6"/>
        <v>1.2.4</v>
      </c>
      <c r="Q18" s="1937" t="str">
        <f t="shared" si="7"/>
        <v xml:space="preserve"> Q1 1.2</v>
      </c>
      <c r="R18" s="1938" t="str">
        <f t="shared" si="8"/>
        <v>界床遮音性能（重量衝撃源）</v>
      </c>
      <c r="S18" s="2799">
        <f t="shared" si="16"/>
        <v>0</v>
      </c>
      <c r="T18" s="2799">
        <f t="shared" si="9"/>
        <v>0.2</v>
      </c>
      <c r="U18" s="2799">
        <f t="shared" si="9"/>
        <v>0</v>
      </c>
      <c r="V18" s="2799">
        <f t="shared" si="9"/>
        <v>0</v>
      </c>
      <c r="W18" s="2799">
        <f t="shared" si="9"/>
        <v>0</v>
      </c>
      <c r="X18" s="2799">
        <f t="shared" si="9"/>
        <v>0</v>
      </c>
      <c r="Y18" s="2799">
        <f t="shared" si="9"/>
        <v>0</v>
      </c>
      <c r="Z18" s="2801">
        <f t="shared" si="9"/>
        <v>0</v>
      </c>
      <c r="AA18" s="2799">
        <f t="shared" si="17"/>
        <v>0</v>
      </c>
      <c r="AB18" s="2799">
        <f t="shared" si="10"/>
        <v>0.2</v>
      </c>
      <c r="AC18" s="2800">
        <f t="shared" si="11"/>
        <v>0.2</v>
      </c>
      <c r="AD18" s="2799">
        <f t="shared" si="12"/>
        <v>0.2</v>
      </c>
      <c r="AE18" s="2799">
        <f t="shared" si="18"/>
        <v>0.2</v>
      </c>
      <c r="AG18" s="1937" t="s">
        <v>264</v>
      </c>
      <c r="AH18" s="1941" t="s">
        <v>960</v>
      </c>
      <c r="AI18" s="1382" t="s">
        <v>739</v>
      </c>
      <c r="AJ18" s="1944"/>
      <c r="AK18" s="1944">
        <v>0.3</v>
      </c>
      <c r="AL18" s="1944"/>
      <c r="AM18" s="1944"/>
      <c r="AN18" s="1944"/>
      <c r="AO18" s="1944"/>
      <c r="AP18" s="1944"/>
      <c r="AQ18" s="1951"/>
      <c r="AR18" s="1944"/>
      <c r="AS18" s="1944">
        <v>0.3</v>
      </c>
      <c r="AT18" s="1945"/>
      <c r="AU18" s="1944">
        <v>0.3</v>
      </c>
      <c r="AV18" s="1944">
        <v>0.3</v>
      </c>
      <c r="AX18" s="1937" t="s">
        <v>264</v>
      </c>
      <c r="AY18" s="1941" t="s">
        <v>960</v>
      </c>
      <c r="AZ18" s="1382" t="s">
        <v>739</v>
      </c>
      <c r="BA18" s="1944"/>
      <c r="BB18" s="1944">
        <v>0.15</v>
      </c>
      <c r="BC18" s="1944"/>
      <c r="BD18" s="1944"/>
      <c r="BE18" s="1944"/>
      <c r="BF18" s="1944"/>
      <c r="BG18" s="1944"/>
      <c r="BH18" s="1946"/>
      <c r="BI18" s="1944"/>
      <c r="BJ18" s="1944">
        <v>0.15</v>
      </c>
      <c r="BK18" s="1945">
        <v>0.2</v>
      </c>
      <c r="BL18" s="1944">
        <v>0.2</v>
      </c>
      <c r="BM18" s="1944">
        <v>0.2</v>
      </c>
      <c r="BO18" s="1937" t="s">
        <v>264</v>
      </c>
      <c r="BP18" s="1941" t="s">
        <v>960</v>
      </c>
      <c r="BQ18" s="1382" t="s">
        <v>739</v>
      </c>
      <c r="BR18" s="1944"/>
      <c r="BS18" s="1944">
        <v>0.2</v>
      </c>
      <c r="BT18" s="1944"/>
      <c r="BU18" s="1944"/>
      <c r="BV18" s="1944"/>
      <c r="BW18" s="1944"/>
      <c r="BX18" s="1944"/>
      <c r="BY18" s="2456"/>
      <c r="BZ18" s="1944"/>
      <c r="CA18" s="1944">
        <v>0.2</v>
      </c>
      <c r="CB18" s="1945">
        <v>0.2</v>
      </c>
      <c r="CC18" s="1944">
        <v>0.2</v>
      </c>
      <c r="CD18" s="1944">
        <v>0.2</v>
      </c>
      <c r="CE18" s="2272"/>
      <c r="CG18" s="1937" t="s">
        <v>264</v>
      </c>
      <c r="CH18" s="1941" t="s">
        <v>960</v>
      </c>
      <c r="CI18" s="1382" t="s">
        <v>739</v>
      </c>
      <c r="CJ18" s="2706">
        <f t="shared" si="19"/>
        <v>0</v>
      </c>
      <c r="CK18" s="2706">
        <f t="shared" si="20"/>
        <v>0.2</v>
      </c>
      <c r="CL18" s="2706">
        <f t="shared" si="21"/>
        <v>0</v>
      </c>
      <c r="CM18" s="2706">
        <f t="shared" si="22"/>
        <v>0</v>
      </c>
      <c r="CN18" s="2706">
        <f t="shared" si="23"/>
        <v>0</v>
      </c>
      <c r="CO18" s="2706">
        <f t="shared" si="24"/>
        <v>0</v>
      </c>
      <c r="CP18" s="2706">
        <f t="shared" si="25"/>
        <v>0</v>
      </c>
      <c r="CQ18" s="2707">
        <f t="shared" si="26"/>
        <v>0</v>
      </c>
      <c r="CR18" s="2706">
        <f t="shared" si="27"/>
        <v>0</v>
      </c>
      <c r="CS18" s="2706">
        <f t="shared" si="28"/>
        <v>0.2</v>
      </c>
      <c r="CT18" s="2708">
        <f t="shared" si="13"/>
        <v>0.2</v>
      </c>
      <c r="CU18" s="2706">
        <f t="shared" si="14"/>
        <v>0.2</v>
      </c>
      <c r="CV18" s="2706">
        <f t="shared" si="15"/>
        <v>0.2</v>
      </c>
      <c r="CX18" s="1937" t="s">
        <v>264</v>
      </c>
      <c r="CY18" s="1941" t="s">
        <v>960</v>
      </c>
      <c r="CZ18" s="1382" t="s">
        <v>739</v>
      </c>
      <c r="DA18" s="2924">
        <v>0</v>
      </c>
      <c r="DB18" s="2695"/>
      <c r="DC18" s="2695"/>
      <c r="DD18" s="2695"/>
      <c r="DE18" s="2695"/>
      <c r="DF18" s="2695"/>
      <c r="DG18" s="2695"/>
      <c r="DH18" s="2904"/>
      <c r="DI18" s="2695"/>
      <c r="DJ18" s="2695"/>
      <c r="DK18" s="2905"/>
      <c r="DL18" s="2695"/>
      <c r="DM18" s="2695"/>
    </row>
    <row r="19" spans="2:117">
      <c r="B19" s="1916">
        <f t="shared" si="0"/>
        <v>1.3</v>
      </c>
      <c r="C19" s="2999" t="str">
        <f t="shared" si="1"/>
        <v>吸音</v>
      </c>
      <c r="D19" s="1935" t="e">
        <f>IF(I$10=0,0,G19/I$10)</f>
        <v>#DIV/0!</v>
      </c>
      <c r="E19" s="1935" t="e">
        <f>IF(J$10=0,0,H19/J$10)</f>
        <v>#DIV/0!</v>
      </c>
      <c r="G19" s="1936" t="e">
        <f t="shared" si="2"/>
        <v>#DIV/0!</v>
      </c>
      <c r="H19" s="1936" t="e">
        <f t="shared" si="3"/>
        <v>#DIV/0!</v>
      </c>
      <c r="I19" s="1936"/>
      <c r="J19" s="1936"/>
      <c r="K19" s="1936">
        <f>IF(スコア!O19=0,0,1)</f>
        <v>1</v>
      </c>
      <c r="L19" s="1936">
        <f>IF(スコア!R19=0,0,1)</f>
        <v>1</v>
      </c>
      <c r="M19" s="1936" t="e">
        <f t="shared" si="4"/>
        <v>#DIV/0!</v>
      </c>
      <c r="N19" s="1936" t="e">
        <f t="shared" si="5"/>
        <v>#DIV/0!</v>
      </c>
      <c r="P19" s="1937">
        <f t="shared" si="6"/>
        <v>1.3</v>
      </c>
      <c r="Q19" s="1937" t="str">
        <f t="shared" si="7"/>
        <v xml:space="preserve"> Q1 1</v>
      </c>
      <c r="R19" s="1938" t="str">
        <f t="shared" si="8"/>
        <v>吸音</v>
      </c>
      <c r="S19" s="2799">
        <f t="shared" si="16"/>
        <v>0.2</v>
      </c>
      <c r="T19" s="2799">
        <f t="shared" si="9"/>
        <v>0.2</v>
      </c>
      <c r="U19" s="2799">
        <f t="shared" si="9"/>
        <v>0.2</v>
      </c>
      <c r="V19" s="2799">
        <f t="shared" si="9"/>
        <v>0.2</v>
      </c>
      <c r="W19" s="2799">
        <f t="shared" si="9"/>
        <v>0.2</v>
      </c>
      <c r="X19" s="2799">
        <f t="shared" si="9"/>
        <v>0.2</v>
      </c>
      <c r="Y19" s="2799">
        <f t="shared" si="9"/>
        <v>0</v>
      </c>
      <c r="Z19" s="2801">
        <f t="shared" si="9"/>
        <v>0.2</v>
      </c>
      <c r="AA19" s="2799">
        <f t="shared" si="17"/>
        <v>0.2</v>
      </c>
      <c r="AB19" s="2799">
        <f t="shared" si="10"/>
        <v>0.2</v>
      </c>
      <c r="AC19" s="2800">
        <f t="shared" si="11"/>
        <v>0.2</v>
      </c>
      <c r="AD19" s="2799">
        <f t="shared" si="12"/>
        <v>0.2</v>
      </c>
      <c r="AE19" s="2799">
        <f t="shared" si="18"/>
        <v>0</v>
      </c>
      <c r="AG19" s="1937">
        <v>1.3</v>
      </c>
      <c r="AH19" s="1941" t="s">
        <v>954</v>
      </c>
      <c r="AI19" s="1382" t="s">
        <v>740</v>
      </c>
      <c r="AJ19" s="1950">
        <v>0.2</v>
      </c>
      <c r="AK19" s="1939">
        <v>0.2</v>
      </c>
      <c r="AL19" s="1939">
        <v>0.2</v>
      </c>
      <c r="AM19" s="1939">
        <v>0.2</v>
      </c>
      <c r="AN19" s="1950">
        <v>0.2</v>
      </c>
      <c r="AO19" s="1939">
        <v>0.2</v>
      </c>
      <c r="AP19" s="1939">
        <v>0.2</v>
      </c>
      <c r="AQ19" s="1950">
        <v>0.2</v>
      </c>
      <c r="AR19" s="1939"/>
      <c r="AS19" s="1944">
        <v>0.2</v>
      </c>
      <c r="AT19" s="1945"/>
      <c r="AU19" s="1944">
        <v>0.2</v>
      </c>
      <c r="AV19" s="1950">
        <v>0.2</v>
      </c>
      <c r="AX19" s="1937">
        <v>1.3</v>
      </c>
      <c r="AY19" s="1941" t="s">
        <v>954</v>
      </c>
      <c r="AZ19" s="1382" t="s">
        <v>740</v>
      </c>
      <c r="BA19" s="1944">
        <v>0.3</v>
      </c>
      <c r="BB19" s="1944">
        <v>0.3</v>
      </c>
      <c r="BC19" s="1944">
        <v>0.3</v>
      </c>
      <c r="BD19" s="1944">
        <v>0.3</v>
      </c>
      <c r="BE19" s="1944">
        <v>0.3</v>
      </c>
      <c r="BF19" s="1944">
        <v>0.3</v>
      </c>
      <c r="BG19" s="1944">
        <v>0</v>
      </c>
      <c r="BH19" s="1946">
        <v>0.2</v>
      </c>
      <c r="BI19" s="1944">
        <v>0.3</v>
      </c>
      <c r="BJ19" s="1944">
        <v>0.3</v>
      </c>
      <c r="BK19" s="1945">
        <v>0.3</v>
      </c>
      <c r="BL19" s="1944">
        <v>0.3</v>
      </c>
      <c r="BM19" s="1944">
        <v>0</v>
      </c>
      <c r="BO19" s="1937">
        <v>1.3</v>
      </c>
      <c r="BP19" s="1941" t="s">
        <v>954</v>
      </c>
      <c r="BQ19" s="1382" t="s">
        <v>740</v>
      </c>
      <c r="BR19" s="1944">
        <v>0.2</v>
      </c>
      <c r="BS19" s="1944">
        <v>0.2</v>
      </c>
      <c r="BT19" s="1944">
        <v>0.2</v>
      </c>
      <c r="BU19" s="1944">
        <v>0.2</v>
      </c>
      <c r="BV19" s="1944">
        <v>0.2</v>
      </c>
      <c r="BW19" s="1944">
        <v>0.2</v>
      </c>
      <c r="BX19" s="1944">
        <v>0</v>
      </c>
      <c r="BY19" s="2456">
        <v>0.2</v>
      </c>
      <c r="BZ19" s="1944">
        <v>0.2</v>
      </c>
      <c r="CA19" s="1944">
        <v>0.2</v>
      </c>
      <c r="CB19" s="1945">
        <v>0.2</v>
      </c>
      <c r="CC19" s="1944">
        <v>0.2</v>
      </c>
      <c r="CD19" s="1944">
        <v>0</v>
      </c>
      <c r="CE19" s="2272"/>
      <c r="CG19" s="1937">
        <v>1.3</v>
      </c>
      <c r="CH19" s="1941" t="s">
        <v>954</v>
      </c>
      <c r="CI19" s="1382" t="s">
        <v>740</v>
      </c>
      <c r="CJ19" s="2695">
        <v>0.33</v>
      </c>
      <c r="CK19" s="2695">
        <v>0.33</v>
      </c>
      <c r="CL19" s="2695">
        <v>0.33</v>
      </c>
      <c r="CM19" s="2695">
        <v>0.33</v>
      </c>
      <c r="CN19" s="2695">
        <v>0.33</v>
      </c>
      <c r="CO19" s="2695">
        <v>0.33</v>
      </c>
      <c r="CP19" s="2706">
        <f t="shared" si="25"/>
        <v>0</v>
      </c>
      <c r="CQ19" s="2695">
        <v>0.33</v>
      </c>
      <c r="CR19" s="2695">
        <v>0.33</v>
      </c>
      <c r="CS19" s="2695">
        <v>0.33</v>
      </c>
      <c r="CT19" s="2695">
        <v>0.33</v>
      </c>
      <c r="CU19" s="2695">
        <v>0.33</v>
      </c>
      <c r="CV19" s="2706">
        <f t="shared" si="15"/>
        <v>0</v>
      </c>
      <c r="CX19" s="1937">
        <v>1.3</v>
      </c>
      <c r="CY19" s="1941" t="s">
        <v>954</v>
      </c>
      <c r="CZ19" s="1382" t="s">
        <v>740</v>
      </c>
      <c r="DA19" s="2924">
        <v>0</v>
      </c>
      <c r="DB19" s="2695"/>
      <c r="DC19" s="2695"/>
      <c r="DD19" s="2695"/>
      <c r="DE19" s="2695"/>
      <c r="DF19" s="2695"/>
      <c r="DG19" s="2695"/>
      <c r="DH19" s="2695"/>
      <c r="DI19" s="2695"/>
      <c r="DJ19" s="2695"/>
      <c r="DK19" s="2695"/>
      <c r="DL19" s="2695"/>
      <c r="DM19" s="2695"/>
    </row>
    <row r="20" spans="2:117">
      <c r="B20" s="1916">
        <f t="shared" si="0"/>
        <v>2</v>
      </c>
      <c r="C20" s="1928" t="str">
        <f t="shared" si="1"/>
        <v>温熱環境</v>
      </c>
      <c r="D20" s="1924" t="e">
        <f>IF(I$9=0,0,G20/I$9)</f>
        <v>#DIV/0!</v>
      </c>
      <c r="E20" s="1925" t="e">
        <f>IF(J$9=0,0,H20/J$9)</f>
        <v>#DIV/0!</v>
      </c>
      <c r="G20" s="1925" t="e">
        <f t="shared" si="2"/>
        <v>#DIV/0!</v>
      </c>
      <c r="H20" s="1925" t="e">
        <f t="shared" si="3"/>
        <v>#DIV/0!</v>
      </c>
      <c r="I20" s="1925" t="e">
        <f>G21+G30+G31+G32</f>
        <v>#DIV/0!</v>
      </c>
      <c r="J20" s="1925" t="e">
        <f>H21+H30+H31+H32</f>
        <v>#DIV/0!</v>
      </c>
      <c r="K20" s="1925" t="e">
        <f>IF(L20&gt;0,1,IF(スコア!O20=0,0,1))</f>
        <v>#DIV/0!</v>
      </c>
      <c r="L20" s="1925" t="e">
        <f>IF(スコア!R20=0,0,1)</f>
        <v>#DIV/0!</v>
      </c>
      <c r="M20" s="1925" t="e">
        <f t="shared" si="4"/>
        <v>#DIV/0!</v>
      </c>
      <c r="N20" s="1925" t="e">
        <f t="shared" si="5"/>
        <v>#DIV/0!</v>
      </c>
      <c r="P20" s="1927">
        <f t="shared" si="6"/>
        <v>2</v>
      </c>
      <c r="Q20" s="1927" t="str">
        <f t="shared" si="7"/>
        <v xml:space="preserve"> Q1</v>
      </c>
      <c r="R20" s="1928" t="str">
        <f t="shared" si="8"/>
        <v>温熱環境</v>
      </c>
      <c r="S20" s="2796">
        <f t="shared" si="16"/>
        <v>0.35</v>
      </c>
      <c r="T20" s="2796">
        <f t="shared" si="9"/>
        <v>0.35</v>
      </c>
      <c r="U20" s="2796">
        <f t="shared" si="9"/>
        <v>0.35</v>
      </c>
      <c r="V20" s="2796">
        <f t="shared" si="9"/>
        <v>0.35</v>
      </c>
      <c r="W20" s="2796">
        <f t="shared" si="9"/>
        <v>0.35</v>
      </c>
      <c r="X20" s="2796">
        <f t="shared" si="9"/>
        <v>0.35</v>
      </c>
      <c r="Y20" s="2796">
        <f t="shared" si="9"/>
        <v>0.35</v>
      </c>
      <c r="Z20" s="2802">
        <f t="shared" si="9"/>
        <v>0.35</v>
      </c>
      <c r="AA20" s="2796">
        <f t="shared" si="17"/>
        <v>0.35</v>
      </c>
      <c r="AB20" s="2796">
        <f t="shared" si="10"/>
        <v>0.35</v>
      </c>
      <c r="AC20" s="2798">
        <f t="shared" si="11"/>
        <v>0</v>
      </c>
      <c r="AD20" s="2796">
        <f t="shared" si="12"/>
        <v>0</v>
      </c>
      <c r="AE20" s="2796">
        <f t="shared" si="18"/>
        <v>0</v>
      </c>
      <c r="AG20" s="1927">
        <v>2</v>
      </c>
      <c r="AH20" s="1931" t="s">
        <v>953</v>
      </c>
      <c r="AI20" s="1953" t="s">
        <v>946</v>
      </c>
      <c r="AJ20" s="1929">
        <v>0.35</v>
      </c>
      <c r="AK20" s="1929">
        <v>0.35</v>
      </c>
      <c r="AL20" s="1929">
        <v>0.35</v>
      </c>
      <c r="AM20" s="1929">
        <v>0.35</v>
      </c>
      <c r="AN20" s="1929">
        <v>0.35</v>
      </c>
      <c r="AO20" s="1929">
        <v>0.35</v>
      </c>
      <c r="AP20" s="1929">
        <v>0.35</v>
      </c>
      <c r="AQ20" s="1929">
        <v>0.44</v>
      </c>
      <c r="AR20" s="1929">
        <v>0.35</v>
      </c>
      <c r="AS20" s="1932">
        <v>0.35</v>
      </c>
      <c r="AT20" s="1933"/>
      <c r="AU20" s="1932"/>
      <c r="AV20" s="1932"/>
      <c r="AX20" s="1927">
        <v>2</v>
      </c>
      <c r="AY20" s="1931" t="s">
        <v>953</v>
      </c>
      <c r="AZ20" s="1953" t="s">
        <v>946</v>
      </c>
      <c r="BA20" s="1932">
        <v>0.35</v>
      </c>
      <c r="BB20" s="1932">
        <v>0.35</v>
      </c>
      <c r="BC20" s="1932">
        <v>0.35</v>
      </c>
      <c r="BD20" s="1932">
        <v>0.35</v>
      </c>
      <c r="BE20" s="1932">
        <v>0.35</v>
      </c>
      <c r="BF20" s="1932">
        <v>0.35</v>
      </c>
      <c r="BG20" s="1932">
        <v>0.35</v>
      </c>
      <c r="BH20" s="1954">
        <v>0.44</v>
      </c>
      <c r="BI20" s="1932">
        <v>0.35</v>
      </c>
      <c r="BJ20" s="1932">
        <v>0.35</v>
      </c>
      <c r="BK20" s="1933"/>
      <c r="BL20" s="1932"/>
      <c r="BM20" s="1932"/>
      <c r="BO20" s="1927">
        <v>2</v>
      </c>
      <c r="BP20" s="1931" t="s">
        <v>953</v>
      </c>
      <c r="BQ20" s="1953" t="s">
        <v>946</v>
      </c>
      <c r="BR20" s="1932">
        <v>0.35</v>
      </c>
      <c r="BS20" s="1932">
        <v>0.35</v>
      </c>
      <c r="BT20" s="1932">
        <v>0.35</v>
      </c>
      <c r="BU20" s="1932">
        <v>0.35</v>
      </c>
      <c r="BV20" s="1932">
        <v>0.35</v>
      </c>
      <c r="BW20" s="1932">
        <v>0.35</v>
      </c>
      <c r="BX20" s="1932">
        <v>0.35</v>
      </c>
      <c r="BY20" s="2457">
        <v>0.35</v>
      </c>
      <c r="BZ20" s="1932">
        <v>0.35</v>
      </c>
      <c r="CA20" s="1932">
        <v>0.35</v>
      </c>
      <c r="CB20" s="1933"/>
      <c r="CC20" s="1932"/>
      <c r="CD20" s="1932"/>
      <c r="CE20" s="2271"/>
      <c r="CG20" s="1927">
        <v>2</v>
      </c>
      <c r="CH20" s="1931" t="s">
        <v>953</v>
      </c>
      <c r="CI20" s="1953" t="s">
        <v>946</v>
      </c>
      <c r="CJ20" s="2703">
        <f t="shared" si="19"/>
        <v>0.35</v>
      </c>
      <c r="CK20" s="2703">
        <f t="shared" si="20"/>
        <v>0.35</v>
      </c>
      <c r="CL20" s="2703">
        <f t="shared" si="21"/>
        <v>0.35</v>
      </c>
      <c r="CM20" s="2703">
        <f t="shared" si="22"/>
        <v>0.35</v>
      </c>
      <c r="CN20" s="2703">
        <f t="shared" si="23"/>
        <v>0.35</v>
      </c>
      <c r="CO20" s="2703">
        <f t="shared" si="24"/>
        <v>0.35</v>
      </c>
      <c r="CP20" s="2703">
        <f t="shared" si="25"/>
        <v>0.35</v>
      </c>
      <c r="CQ20" s="2710">
        <f t="shared" si="26"/>
        <v>0.35</v>
      </c>
      <c r="CR20" s="2703">
        <f t="shared" si="27"/>
        <v>0.35</v>
      </c>
      <c r="CS20" s="2703">
        <f t="shared" si="28"/>
        <v>0.35</v>
      </c>
      <c r="CT20" s="2705">
        <f t="shared" si="13"/>
        <v>0</v>
      </c>
      <c r="CU20" s="2703">
        <f t="shared" si="14"/>
        <v>0</v>
      </c>
      <c r="CV20" s="2703">
        <f t="shared" si="15"/>
        <v>0</v>
      </c>
      <c r="CX20" s="1927">
        <v>2</v>
      </c>
      <c r="CY20" s="1931" t="s">
        <v>953</v>
      </c>
      <c r="CZ20" s="1953" t="s">
        <v>946</v>
      </c>
      <c r="DA20" s="2693">
        <f t="shared" si="29"/>
        <v>0.35</v>
      </c>
      <c r="DB20" s="2693"/>
      <c r="DC20" s="2693"/>
      <c r="DD20" s="2693"/>
      <c r="DE20" s="2693"/>
      <c r="DF20" s="2693"/>
      <c r="DG20" s="2693"/>
      <c r="DH20" s="2906"/>
      <c r="DI20" s="2693"/>
      <c r="DJ20" s="2693"/>
      <c r="DK20" s="2694"/>
      <c r="DL20" s="2693"/>
      <c r="DM20" s="2693"/>
    </row>
    <row r="21" spans="2:117">
      <c r="B21" s="1916">
        <f t="shared" si="0"/>
        <v>2.1</v>
      </c>
      <c r="C21" s="1938" t="str">
        <f t="shared" si="1"/>
        <v>室温制御</v>
      </c>
      <c r="D21" s="1935" t="e">
        <f>IF(I$20=0,0,G21/I$20)</f>
        <v>#DIV/0!</v>
      </c>
      <c r="E21" s="1936" t="e">
        <f>IF(J$20=0,0,H21/J$20)</f>
        <v>#DIV/0!</v>
      </c>
      <c r="G21" s="1936" t="e">
        <f t="shared" si="2"/>
        <v>#DIV/0!</v>
      </c>
      <c r="H21" s="1936" t="e">
        <f t="shared" si="3"/>
        <v>#DIV/0!</v>
      </c>
      <c r="I21" s="1936" t="e">
        <f>SUM(G22:G29)</f>
        <v>#DIV/0!</v>
      </c>
      <c r="J21" s="1936" t="e">
        <f>SUM(H22:H29)</f>
        <v>#DIV/0!</v>
      </c>
      <c r="K21" s="1936" t="e">
        <f>IF(スコア!O21=0,0,1)</f>
        <v>#DIV/0!</v>
      </c>
      <c r="L21" s="1936" t="e">
        <f>IF(スコア!R21=0,0,1)</f>
        <v>#DIV/0!</v>
      </c>
      <c r="M21" s="1936" t="e">
        <f t="shared" si="4"/>
        <v>#DIV/0!</v>
      </c>
      <c r="N21" s="1936" t="e">
        <f t="shared" si="5"/>
        <v>#DIV/0!</v>
      </c>
      <c r="P21" s="1937">
        <f t="shared" si="6"/>
        <v>2.1</v>
      </c>
      <c r="Q21" s="1937" t="str">
        <f t="shared" si="7"/>
        <v xml:space="preserve"> Q1 2</v>
      </c>
      <c r="R21" s="1938" t="str">
        <f t="shared" si="8"/>
        <v>室温制御</v>
      </c>
      <c r="S21" s="2799">
        <f t="shared" si="16"/>
        <v>0.5</v>
      </c>
      <c r="T21" s="2799">
        <f t="shared" si="9"/>
        <v>0.5</v>
      </c>
      <c r="U21" s="2799">
        <f t="shared" si="9"/>
        <v>0.5</v>
      </c>
      <c r="V21" s="2799">
        <f t="shared" si="9"/>
        <v>0.5</v>
      </c>
      <c r="W21" s="2799">
        <f t="shared" si="9"/>
        <v>0.5</v>
      </c>
      <c r="X21" s="2799">
        <f t="shared" si="9"/>
        <v>0.5</v>
      </c>
      <c r="Y21" s="2799">
        <f t="shared" si="9"/>
        <v>0.5</v>
      </c>
      <c r="Z21" s="2803">
        <f t="shared" si="9"/>
        <v>0.5</v>
      </c>
      <c r="AA21" s="2799">
        <f t="shared" si="17"/>
        <v>0.5</v>
      </c>
      <c r="AB21" s="2799">
        <f t="shared" si="10"/>
        <v>0.5</v>
      </c>
      <c r="AC21" s="2800">
        <f t="shared" si="11"/>
        <v>0.5</v>
      </c>
      <c r="AD21" s="2799">
        <f t="shared" si="12"/>
        <v>0.5</v>
      </c>
      <c r="AE21" s="2799">
        <f t="shared" si="18"/>
        <v>0.5</v>
      </c>
      <c r="AG21" s="1937">
        <v>2.1</v>
      </c>
      <c r="AH21" s="1941" t="s">
        <v>961</v>
      </c>
      <c r="AI21" s="1938" t="s">
        <v>742</v>
      </c>
      <c r="AJ21" s="1939">
        <v>0.5</v>
      </c>
      <c r="AK21" s="1939">
        <v>0.5</v>
      </c>
      <c r="AL21" s="1939">
        <v>0.5</v>
      </c>
      <c r="AM21" s="1939">
        <v>0.5</v>
      </c>
      <c r="AN21" s="1939">
        <v>0.5</v>
      </c>
      <c r="AO21" s="1939">
        <v>0.5</v>
      </c>
      <c r="AP21" s="1939">
        <v>0.5</v>
      </c>
      <c r="AQ21" s="1939">
        <v>0.5</v>
      </c>
      <c r="AR21" s="1939">
        <v>0.5</v>
      </c>
      <c r="AS21" s="1944">
        <v>0.5</v>
      </c>
      <c r="AT21" s="1945">
        <v>1</v>
      </c>
      <c r="AU21" s="1944">
        <v>1</v>
      </c>
      <c r="AV21" s="1944">
        <v>1</v>
      </c>
      <c r="AX21" s="1937">
        <v>2.1</v>
      </c>
      <c r="AY21" s="1941" t="s">
        <v>961</v>
      </c>
      <c r="AZ21" s="1938" t="s">
        <v>742</v>
      </c>
      <c r="BA21" s="1944">
        <v>0.5</v>
      </c>
      <c r="BB21" s="1944">
        <v>0.5</v>
      </c>
      <c r="BC21" s="1944">
        <v>0.5</v>
      </c>
      <c r="BD21" s="1944">
        <v>0.5</v>
      </c>
      <c r="BE21" s="1944">
        <v>0.5</v>
      </c>
      <c r="BF21" s="1944">
        <v>0.5</v>
      </c>
      <c r="BG21" s="1944">
        <v>0.5</v>
      </c>
      <c r="BH21" s="1946">
        <v>0.5</v>
      </c>
      <c r="BI21" s="1944">
        <v>0.5</v>
      </c>
      <c r="BJ21" s="1944">
        <v>0.5</v>
      </c>
      <c r="BK21" s="1945">
        <v>0.5</v>
      </c>
      <c r="BL21" s="1944">
        <v>0.5</v>
      </c>
      <c r="BM21" s="1944">
        <v>0.5</v>
      </c>
      <c r="BO21" s="1937">
        <v>2.1</v>
      </c>
      <c r="BP21" s="1941" t="s">
        <v>961</v>
      </c>
      <c r="BQ21" s="1938" t="s">
        <v>742</v>
      </c>
      <c r="BR21" s="1944">
        <v>0.5</v>
      </c>
      <c r="BS21" s="1944">
        <v>0.5</v>
      </c>
      <c r="BT21" s="1944">
        <v>0.5</v>
      </c>
      <c r="BU21" s="1944">
        <v>0.5</v>
      </c>
      <c r="BV21" s="1944">
        <v>0.5</v>
      </c>
      <c r="BW21" s="1944">
        <v>0.5</v>
      </c>
      <c r="BX21" s="1944">
        <v>0.5</v>
      </c>
      <c r="BY21" s="2458">
        <v>0.5</v>
      </c>
      <c r="BZ21" s="1944">
        <v>0.5</v>
      </c>
      <c r="CA21" s="1944">
        <v>0.5</v>
      </c>
      <c r="CB21" s="1945">
        <v>0.5</v>
      </c>
      <c r="CC21" s="1944">
        <v>0.5</v>
      </c>
      <c r="CD21" s="1944">
        <v>0.5</v>
      </c>
      <c r="CE21" s="2272"/>
      <c r="CG21" s="1937">
        <v>2.1</v>
      </c>
      <c r="CH21" s="1941" t="s">
        <v>961</v>
      </c>
      <c r="CI21" s="1938" t="s">
        <v>742</v>
      </c>
      <c r="CJ21" s="2706">
        <f t="shared" si="19"/>
        <v>0.5</v>
      </c>
      <c r="CK21" s="2706">
        <f t="shared" si="20"/>
        <v>0.5</v>
      </c>
      <c r="CL21" s="2706">
        <f t="shared" si="21"/>
        <v>0.5</v>
      </c>
      <c r="CM21" s="2706">
        <f t="shared" si="22"/>
        <v>0.5</v>
      </c>
      <c r="CN21" s="2706">
        <f t="shared" si="23"/>
        <v>0.5</v>
      </c>
      <c r="CO21" s="2706">
        <f t="shared" si="24"/>
        <v>0.5</v>
      </c>
      <c r="CP21" s="2706">
        <f t="shared" si="25"/>
        <v>0.5</v>
      </c>
      <c r="CQ21" s="2711">
        <f t="shared" si="26"/>
        <v>0.5</v>
      </c>
      <c r="CR21" s="2706">
        <f t="shared" si="27"/>
        <v>0.5</v>
      </c>
      <c r="CS21" s="2706">
        <f t="shared" si="28"/>
        <v>0.5</v>
      </c>
      <c r="CT21" s="2708">
        <f t="shared" si="13"/>
        <v>0.5</v>
      </c>
      <c r="CU21" s="2706">
        <f t="shared" si="14"/>
        <v>0.5</v>
      </c>
      <c r="CV21" s="2706">
        <f t="shared" si="15"/>
        <v>0.5</v>
      </c>
      <c r="CX21" s="1937">
        <v>2.1</v>
      </c>
      <c r="CY21" s="1941" t="s">
        <v>961</v>
      </c>
      <c r="CZ21" s="1938" t="s">
        <v>742</v>
      </c>
      <c r="DA21" s="2695">
        <f t="shared" si="29"/>
        <v>0.5</v>
      </c>
      <c r="DB21" s="2695"/>
      <c r="DC21" s="2695"/>
      <c r="DD21" s="2695"/>
      <c r="DE21" s="2695"/>
      <c r="DF21" s="2695"/>
      <c r="DG21" s="2695"/>
      <c r="DH21" s="2907"/>
      <c r="DI21" s="2695"/>
      <c r="DJ21" s="2695"/>
      <c r="DK21" s="2905"/>
      <c r="DL21" s="2695"/>
      <c r="DM21" s="2695"/>
    </row>
    <row r="22" spans="2:117">
      <c r="B22" s="1916" t="str">
        <f t="shared" si="0"/>
        <v>2.1.1</v>
      </c>
      <c r="C22" s="1938" t="str">
        <f t="shared" si="1"/>
        <v>室温</v>
      </c>
      <c r="D22" s="1926" t="e">
        <f>IF(I$21&gt;0,G22/I$21,0)</f>
        <v>#DIV/0!</v>
      </c>
      <c r="E22" s="1936" t="e">
        <f t="shared" ref="D22:E29" si="31">IF(J$21&gt;0,H22/J$21,0)</f>
        <v>#DIV/0!</v>
      </c>
      <c r="G22" s="1936" t="e">
        <f t="shared" si="2"/>
        <v>#DIV/0!</v>
      </c>
      <c r="H22" s="1936" t="e">
        <f t="shared" si="3"/>
        <v>#DIV/0!</v>
      </c>
      <c r="I22" s="1936"/>
      <c r="J22" s="1936"/>
      <c r="K22" s="1936">
        <f>IF(スコア!O22=0,0,1)</f>
        <v>1</v>
      </c>
      <c r="L22" s="1936">
        <f>IF(スコア!R22=0,0,1)</f>
        <v>1</v>
      </c>
      <c r="M22" s="1936" t="e">
        <f t="shared" si="4"/>
        <v>#DIV/0!</v>
      </c>
      <c r="N22" s="1936" t="e">
        <f t="shared" si="5"/>
        <v>#DIV/0!</v>
      </c>
      <c r="P22" s="1937" t="str">
        <f t="shared" si="6"/>
        <v>2.1.1</v>
      </c>
      <c r="Q22" s="1937" t="str">
        <f t="shared" si="7"/>
        <v xml:space="preserve"> Q1 2.1</v>
      </c>
      <c r="R22" s="1938" t="str">
        <f t="shared" si="8"/>
        <v>室温</v>
      </c>
      <c r="S22" s="2799">
        <f t="shared" si="16"/>
        <v>0.37499999999999994</v>
      </c>
      <c r="T22" s="2799">
        <f t="shared" si="9"/>
        <v>0.6</v>
      </c>
      <c r="U22" s="2799">
        <f t="shared" si="9"/>
        <v>0.49999999999999989</v>
      </c>
      <c r="V22" s="2799">
        <f t="shared" si="9"/>
        <v>0.49999999999999989</v>
      </c>
      <c r="W22" s="2799">
        <f t="shared" si="9"/>
        <v>0.37499999999999994</v>
      </c>
      <c r="X22" s="2799">
        <f t="shared" si="9"/>
        <v>0.37499999999999994</v>
      </c>
      <c r="Y22" s="2799">
        <f t="shared" si="9"/>
        <v>0.625</v>
      </c>
      <c r="Z22" s="2803">
        <f t="shared" si="9"/>
        <v>0.37499999999999994</v>
      </c>
      <c r="AA22" s="2799">
        <f t="shared" si="17"/>
        <v>0.37499999999999994</v>
      </c>
      <c r="AB22" s="2799">
        <f t="shared" si="10"/>
        <v>0.6</v>
      </c>
      <c r="AC22" s="2800">
        <f t="shared" si="11"/>
        <v>0.57142857142857151</v>
      </c>
      <c r="AD22" s="2799">
        <f t="shared" si="12"/>
        <v>0.57142857142857151</v>
      </c>
      <c r="AE22" s="2799">
        <f t="shared" si="18"/>
        <v>0.625</v>
      </c>
      <c r="AG22" s="1937" t="s">
        <v>265</v>
      </c>
      <c r="AH22" s="1941" t="s">
        <v>510</v>
      </c>
      <c r="AI22" s="1942" t="s">
        <v>511</v>
      </c>
      <c r="AJ22" s="1939">
        <v>0.3</v>
      </c>
      <c r="AK22" s="1939">
        <v>0.3</v>
      </c>
      <c r="AL22" s="1939">
        <v>0.3</v>
      </c>
      <c r="AM22" s="1939">
        <v>0.3</v>
      </c>
      <c r="AN22" s="1939">
        <v>0.3</v>
      </c>
      <c r="AO22" s="1939">
        <v>0.3</v>
      </c>
      <c r="AP22" s="1939">
        <v>0.5</v>
      </c>
      <c r="AQ22" s="1955">
        <v>0.3</v>
      </c>
      <c r="AR22" s="1939">
        <v>0.3</v>
      </c>
      <c r="AS22" s="1944">
        <v>0.3</v>
      </c>
      <c r="AT22" s="1945"/>
      <c r="AU22" s="1944"/>
      <c r="AV22" s="1944"/>
      <c r="AX22" s="1937" t="s">
        <v>265</v>
      </c>
      <c r="AY22" s="1941" t="s">
        <v>510</v>
      </c>
      <c r="AZ22" s="1942" t="s">
        <v>921</v>
      </c>
      <c r="BA22" s="1944">
        <v>0.3</v>
      </c>
      <c r="BB22" s="1944">
        <v>0.6</v>
      </c>
      <c r="BC22" s="1944">
        <v>0.3</v>
      </c>
      <c r="BD22" s="1944">
        <v>0.3</v>
      </c>
      <c r="BE22" s="1944">
        <v>0.3</v>
      </c>
      <c r="BF22" s="1944">
        <v>0.3</v>
      </c>
      <c r="BG22" s="1944">
        <v>0.6</v>
      </c>
      <c r="BH22" s="1946">
        <v>0.3</v>
      </c>
      <c r="BI22" s="1944">
        <v>0.3</v>
      </c>
      <c r="BJ22" s="1944">
        <v>0.6</v>
      </c>
      <c r="BK22" s="1945">
        <v>0.6</v>
      </c>
      <c r="BL22" s="1944">
        <v>0.6</v>
      </c>
      <c r="BM22" s="1944">
        <v>0.6</v>
      </c>
      <c r="BO22" s="1937" t="s">
        <v>265</v>
      </c>
      <c r="BP22" s="1941" t="s">
        <v>510</v>
      </c>
      <c r="BQ22" s="1942" t="s">
        <v>921</v>
      </c>
      <c r="BR22" s="2925">
        <f>0.3/(0.3+0.2+0.3)</f>
        <v>0.37499999999999994</v>
      </c>
      <c r="BS22" s="2925">
        <f>0.3/(0.3+0.2)</f>
        <v>0.6</v>
      </c>
      <c r="BT22" s="2925">
        <f>0.3/(0.3+0.1+0.2)</f>
        <v>0.49999999999999989</v>
      </c>
      <c r="BU22" s="2925">
        <f>0.3/(0.3+0.1+0.2)</f>
        <v>0.49999999999999989</v>
      </c>
      <c r="BV22" s="2925">
        <f>0.3/(0.3+0.2+0.3)</f>
        <v>0.37499999999999994</v>
      </c>
      <c r="BW22" s="2925">
        <f>0.3/(0.3+0.2+0.3)</f>
        <v>0.37499999999999994</v>
      </c>
      <c r="BX22" s="2925">
        <f>0.5/(0.5+0.3)</f>
        <v>0.625</v>
      </c>
      <c r="BY22" s="2925">
        <f>0.3/(0.3+0.2+0.3)</f>
        <v>0.37499999999999994</v>
      </c>
      <c r="BZ22" s="2925">
        <f>0.3/(0.3+0.2+0.3)</f>
        <v>0.37499999999999994</v>
      </c>
      <c r="CA22" s="2925">
        <f>0.3/(0.3+0.2)</f>
        <v>0.6</v>
      </c>
      <c r="CB22" s="2925">
        <f>0.4/(0.4+0.3)</f>
        <v>0.57142857142857151</v>
      </c>
      <c r="CC22" s="2925">
        <f>0.4/(0.4+0.3)</f>
        <v>0.57142857142857151</v>
      </c>
      <c r="CD22" s="2925">
        <f>0.5/(0.5+0.3)</f>
        <v>0.625</v>
      </c>
      <c r="CE22" s="2272"/>
      <c r="CG22" s="1937" t="s">
        <v>265</v>
      </c>
      <c r="CH22" s="1941" t="s">
        <v>510</v>
      </c>
      <c r="CI22" s="1942" t="s">
        <v>921</v>
      </c>
      <c r="CJ22" s="2706">
        <f t="shared" si="19"/>
        <v>0.37499999999999994</v>
      </c>
      <c r="CK22" s="2706">
        <f t="shared" si="20"/>
        <v>0.6</v>
      </c>
      <c r="CL22" s="2706">
        <f t="shared" si="21"/>
        <v>0.49999999999999989</v>
      </c>
      <c r="CM22" s="2706">
        <f t="shared" si="22"/>
        <v>0.49999999999999989</v>
      </c>
      <c r="CN22" s="2706">
        <f t="shared" si="23"/>
        <v>0.37499999999999994</v>
      </c>
      <c r="CO22" s="2706">
        <f t="shared" si="24"/>
        <v>0.37499999999999994</v>
      </c>
      <c r="CP22" s="2706">
        <f t="shared" si="25"/>
        <v>0.625</v>
      </c>
      <c r="CQ22" s="2711">
        <f t="shared" si="26"/>
        <v>0.37499999999999994</v>
      </c>
      <c r="CR22" s="2706">
        <f t="shared" si="27"/>
        <v>0.37499999999999994</v>
      </c>
      <c r="CS22" s="2706">
        <f t="shared" si="28"/>
        <v>0.6</v>
      </c>
      <c r="CT22" s="2708">
        <f t="shared" si="13"/>
        <v>0.57142857142857151</v>
      </c>
      <c r="CU22" s="2706">
        <f t="shared" si="14"/>
        <v>0.57142857142857151</v>
      </c>
      <c r="CV22" s="2706">
        <f t="shared" si="15"/>
        <v>0.625</v>
      </c>
      <c r="CX22" s="1937" t="s">
        <v>265</v>
      </c>
      <c r="CY22" s="1941" t="s">
        <v>510</v>
      </c>
      <c r="CZ22" s="1942" t="s">
        <v>921</v>
      </c>
      <c r="DA22" s="2695">
        <f t="shared" si="29"/>
        <v>0.37499999999999994</v>
      </c>
      <c r="DB22" s="2695"/>
      <c r="DC22" s="2695"/>
      <c r="DD22" s="2695"/>
      <c r="DE22" s="2695"/>
      <c r="DF22" s="2695"/>
      <c r="DG22" s="2695"/>
      <c r="DH22" s="2907"/>
      <c r="DI22" s="2695"/>
      <c r="DJ22" s="2695"/>
      <c r="DK22" s="2905"/>
      <c r="DL22" s="2695"/>
      <c r="DM22" s="2695"/>
    </row>
    <row r="23" spans="2:117" hidden="1">
      <c r="B23" s="1916" t="str">
        <f t="shared" si="0"/>
        <v>2.1.2</v>
      </c>
      <c r="C23" s="1938">
        <f t="shared" si="1"/>
        <v>0</v>
      </c>
      <c r="D23" s="1926" t="e">
        <f t="shared" si="31"/>
        <v>#DIV/0!</v>
      </c>
      <c r="E23" s="1936" t="e">
        <f t="shared" si="31"/>
        <v>#DIV/0!</v>
      </c>
      <c r="G23" s="1936" t="e">
        <f t="shared" si="2"/>
        <v>#DIV/0!</v>
      </c>
      <c r="H23" s="1936" t="e">
        <f t="shared" si="3"/>
        <v>#DIV/0!</v>
      </c>
      <c r="I23" s="1936"/>
      <c r="J23" s="1936"/>
      <c r="K23" s="1936">
        <f>IF(スコア!O23=0,0,1)</f>
        <v>0</v>
      </c>
      <c r="L23" s="1936">
        <f>IF(スコア!R23=0,0,1)</f>
        <v>0</v>
      </c>
      <c r="M23" s="1936" t="e">
        <f t="shared" si="4"/>
        <v>#DIV/0!</v>
      </c>
      <c r="N23" s="1936" t="e">
        <f t="shared" si="5"/>
        <v>#DIV/0!</v>
      </c>
      <c r="P23" s="1937" t="str">
        <f t="shared" si="6"/>
        <v>2.1.2</v>
      </c>
      <c r="Q23" s="1937" t="str">
        <f t="shared" si="7"/>
        <v xml:space="preserve"> Q1 2.1</v>
      </c>
      <c r="R23" s="1938">
        <f t="shared" si="8"/>
        <v>0</v>
      </c>
      <c r="S23" s="2804">
        <f t="shared" si="16"/>
        <v>0</v>
      </c>
      <c r="T23" s="2799">
        <f t="shared" si="9"/>
        <v>0</v>
      </c>
      <c r="U23" s="2799">
        <f t="shared" si="9"/>
        <v>0</v>
      </c>
      <c r="V23" s="2799">
        <f t="shared" si="9"/>
        <v>0</v>
      </c>
      <c r="W23" s="2799">
        <f t="shared" si="9"/>
        <v>0</v>
      </c>
      <c r="X23" s="2799">
        <f t="shared" si="9"/>
        <v>0</v>
      </c>
      <c r="Y23" s="2799">
        <f t="shared" si="9"/>
        <v>0</v>
      </c>
      <c r="Z23" s="2803">
        <f t="shared" si="9"/>
        <v>0</v>
      </c>
      <c r="AA23" s="2804">
        <f t="shared" si="17"/>
        <v>0</v>
      </c>
      <c r="AB23" s="2799">
        <f t="shared" si="10"/>
        <v>0</v>
      </c>
      <c r="AC23" s="2800">
        <f t="shared" si="11"/>
        <v>0</v>
      </c>
      <c r="AD23" s="2799">
        <f t="shared" si="12"/>
        <v>0</v>
      </c>
      <c r="AE23" s="2799">
        <f t="shared" si="18"/>
        <v>0</v>
      </c>
      <c r="AG23" s="1937" t="s">
        <v>512</v>
      </c>
      <c r="AH23" s="1941" t="s">
        <v>510</v>
      </c>
      <c r="AI23" s="1942" t="s">
        <v>513</v>
      </c>
      <c r="AJ23" s="1949"/>
      <c r="AK23" s="1949">
        <v>0.2</v>
      </c>
      <c r="AL23" s="1949">
        <v>0.2</v>
      </c>
      <c r="AM23" s="1949">
        <v>0.2</v>
      </c>
      <c r="AN23" s="1949"/>
      <c r="AO23" s="1949"/>
      <c r="AP23" s="1949"/>
      <c r="AQ23" s="1956">
        <v>0.3</v>
      </c>
      <c r="AR23" s="1949"/>
      <c r="AS23" s="1944">
        <v>0.2</v>
      </c>
      <c r="AT23" s="1945"/>
      <c r="AU23" s="1944"/>
      <c r="AV23" s="1944"/>
      <c r="AX23" s="1937" t="s">
        <v>512</v>
      </c>
      <c r="AY23" s="1941" t="s">
        <v>510</v>
      </c>
      <c r="AZ23" s="1942" t="s">
        <v>513</v>
      </c>
      <c r="BA23" s="1957"/>
      <c r="BB23" s="1944"/>
      <c r="BC23" s="1944"/>
      <c r="BD23" s="1944"/>
      <c r="BE23" s="1944"/>
      <c r="BF23" s="1944"/>
      <c r="BG23" s="1944"/>
      <c r="BH23" s="1946"/>
      <c r="BI23" s="1957"/>
      <c r="BJ23" s="1944"/>
      <c r="BK23" s="1945"/>
      <c r="BL23" s="1944"/>
      <c r="BM23" s="1944"/>
      <c r="BO23" s="1937" t="s">
        <v>512</v>
      </c>
      <c r="BP23" s="1941" t="s">
        <v>510</v>
      </c>
      <c r="BQ23" s="1942"/>
      <c r="BR23" s="1957"/>
      <c r="BS23" s="1944"/>
      <c r="BT23" s="1944"/>
      <c r="BU23" s="1944"/>
      <c r="BV23" s="1957"/>
      <c r="BW23" s="1957"/>
      <c r="BX23" s="1944"/>
      <c r="BY23" s="1957"/>
      <c r="BZ23" s="1957"/>
      <c r="CA23" s="1944"/>
      <c r="CB23" s="1945"/>
      <c r="CC23" s="1945"/>
      <c r="CD23" s="1944"/>
      <c r="CE23" s="2272"/>
      <c r="CG23" s="1937" t="s">
        <v>512</v>
      </c>
      <c r="CH23" s="1941" t="s">
        <v>510</v>
      </c>
      <c r="CI23" s="1942"/>
      <c r="CJ23" s="2712">
        <f t="shared" si="19"/>
        <v>0</v>
      </c>
      <c r="CK23" s="2706">
        <f t="shared" si="20"/>
        <v>0</v>
      </c>
      <c r="CL23" s="2706">
        <f t="shared" si="21"/>
        <v>0</v>
      </c>
      <c r="CM23" s="2706">
        <f t="shared" si="22"/>
        <v>0</v>
      </c>
      <c r="CN23" s="2706">
        <f t="shared" si="23"/>
        <v>0</v>
      </c>
      <c r="CO23" s="2706">
        <f t="shared" si="24"/>
        <v>0</v>
      </c>
      <c r="CP23" s="2706">
        <f t="shared" si="25"/>
        <v>0</v>
      </c>
      <c r="CQ23" s="2711">
        <f t="shared" si="26"/>
        <v>0</v>
      </c>
      <c r="CR23" s="2712">
        <f t="shared" si="27"/>
        <v>0</v>
      </c>
      <c r="CS23" s="2706">
        <f t="shared" si="28"/>
        <v>0</v>
      </c>
      <c r="CT23" s="2708">
        <f t="shared" si="13"/>
        <v>0</v>
      </c>
      <c r="CU23" s="2706">
        <f t="shared" si="14"/>
        <v>0</v>
      </c>
      <c r="CV23" s="2706">
        <f t="shared" si="15"/>
        <v>0</v>
      </c>
      <c r="CX23" s="1937" t="s">
        <v>512</v>
      </c>
      <c r="CY23" s="1941" t="s">
        <v>510</v>
      </c>
      <c r="CZ23" s="1942"/>
      <c r="DA23" s="2695">
        <f t="shared" si="29"/>
        <v>0</v>
      </c>
      <c r="DB23" s="2695"/>
      <c r="DC23" s="2695"/>
      <c r="DD23" s="2695"/>
      <c r="DE23" s="2695"/>
      <c r="DF23" s="2695"/>
      <c r="DG23" s="2695"/>
      <c r="DH23" s="2907"/>
      <c r="DI23" s="2908"/>
      <c r="DJ23" s="2695"/>
      <c r="DK23" s="2905"/>
      <c r="DL23" s="2695"/>
      <c r="DM23" s="2695"/>
    </row>
    <row r="24" spans="2:117">
      <c r="B24" s="1916" t="str">
        <f t="shared" si="0"/>
        <v>2.1.3</v>
      </c>
      <c r="C24" s="1938" t="str">
        <f t="shared" si="1"/>
        <v>外皮性能</v>
      </c>
      <c r="D24" s="1926" t="e">
        <f t="shared" si="31"/>
        <v>#DIV/0!</v>
      </c>
      <c r="E24" s="1936" t="e">
        <f t="shared" si="31"/>
        <v>#DIV/0!</v>
      </c>
      <c r="G24" s="1936" t="e">
        <f t="shared" si="2"/>
        <v>#DIV/0!</v>
      </c>
      <c r="H24" s="1936" t="e">
        <f t="shared" si="3"/>
        <v>#DIV/0!</v>
      </c>
      <c r="I24" s="1936"/>
      <c r="J24" s="1936"/>
      <c r="K24" s="1936">
        <f>IF(スコア!O24=0,0,1)</f>
        <v>1</v>
      </c>
      <c r="L24" s="1936">
        <f>IF(スコア!R24=0,0,1)</f>
        <v>1</v>
      </c>
      <c r="M24" s="1936" t="e">
        <f t="shared" si="4"/>
        <v>#DIV/0!</v>
      </c>
      <c r="N24" s="1936" t="e">
        <f t="shared" si="5"/>
        <v>#DIV/0!</v>
      </c>
      <c r="P24" s="1937" t="str">
        <f t="shared" si="6"/>
        <v>2.1.3</v>
      </c>
      <c r="Q24" s="1937" t="str">
        <f t="shared" si="7"/>
        <v xml:space="preserve"> Q1 2.1</v>
      </c>
      <c r="R24" s="1938" t="str">
        <f t="shared" si="8"/>
        <v>外皮性能</v>
      </c>
      <c r="S24" s="2799">
        <f t="shared" si="16"/>
        <v>0.25</v>
      </c>
      <c r="T24" s="2799">
        <f t="shared" si="9"/>
        <v>0.4</v>
      </c>
      <c r="U24" s="2799">
        <f t="shared" si="9"/>
        <v>0.16666666666666666</v>
      </c>
      <c r="V24" s="2799">
        <f t="shared" si="9"/>
        <v>0.16666666666666666</v>
      </c>
      <c r="W24" s="2799">
        <f t="shared" si="9"/>
        <v>0.25</v>
      </c>
      <c r="X24" s="2799">
        <f t="shared" si="9"/>
        <v>0.25</v>
      </c>
      <c r="Y24" s="2799">
        <f t="shared" si="9"/>
        <v>0.37499999999999994</v>
      </c>
      <c r="Z24" s="2803">
        <f t="shared" si="9"/>
        <v>0.25</v>
      </c>
      <c r="AA24" s="2799">
        <f t="shared" si="17"/>
        <v>0.25</v>
      </c>
      <c r="AB24" s="2799">
        <f t="shared" si="10"/>
        <v>0.4</v>
      </c>
      <c r="AC24" s="2800">
        <f t="shared" si="11"/>
        <v>0.4285714285714286</v>
      </c>
      <c r="AD24" s="2799">
        <f t="shared" si="12"/>
        <v>0.4285714285714286</v>
      </c>
      <c r="AE24" s="2799">
        <f t="shared" si="18"/>
        <v>0.37499999999999994</v>
      </c>
      <c r="AG24" s="1937" t="s">
        <v>514</v>
      </c>
      <c r="AH24" s="1941" t="s">
        <v>510</v>
      </c>
      <c r="AI24" s="1942" t="s">
        <v>515</v>
      </c>
      <c r="AJ24" s="1939">
        <v>0.2</v>
      </c>
      <c r="AK24" s="1939">
        <v>0.2</v>
      </c>
      <c r="AL24" s="1939">
        <v>0.1</v>
      </c>
      <c r="AM24" s="1939">
        <v>0.1</v>
      </c>
      <c r="AN24" s="1939">
        <v>0.2</v>
      </c>
      <c r="AO24" s="1939">
        <v>0.2</v>
      </c>
      <c r="AP24" s="1939">
        <v>0.3</v>
      </c>
      <c r="AQ24" s="1955">
        <v>0.1</v>
      </c>
      <c r="AR24" s="1939">
        <v>0.2</v>
      </c>
      <c r="AS24" s="1944">
        <v>0.2</v>
      </c>
      <c r="AT24" s="1945">
        <v>0.5</v>
      </c>
      <c r="AU24" s="1944">
        <v>0.5</v>
      </c>
      <c r="AV24" s="1944">
        <v>0.6</v>
      </c>
      <c r="AX24" s="1937" t="s">
        <v>514</v>
      </c>
      <c r="AY24" s="1941" t="s">
        <v>510</v>
      </c>
      <c r="AZ24" s="1942" t="s">
        <v>515</v>
      </c>
      <c r="BA24" s="1944">
        <v>0.2</v>
      </c>
      <c r="BB24" s="1944">
        <v>0.4</v>
      </c>
      <c r="BC24" s="1944">
        <v>0.2</v>
      </c>
      <c r="BD24" s="1944">
        <v>0.2</v>
      </c>
      <c r="BE24" s="1944">
        <v>0.2</v>
      </c>
      <c r="BF24" s="1944">
        <v>0.2</v>
      </c>
      <c r="BG24" s="1944">
        <v>0.4</v>
      </c>
      <c r="BH24" s="1946">
        <v>0.2</v>
      </c>
      <c r="BI24" s="1944">
        <v>0.2</v>
      </c>
      <c r="BJ24" s="1944">
        <v>0.4</v>
      </c>
      <c r="BK24" s="1945">
        <v>0.4</v>
      </c>
      <c r="BL24" s="1944">
        <v>0.4</v>
      </c>
      <c r="BM24" s="1944">
        <v>0.4</v>
      </c>
      <c r="BO24" s="1937" t="s">
        <v>514</v>
      </c>
      <c r="BP24" s="1941" t="s">
        <v>510</v>
      </c>
      <c r="BQ24" s="1942" t="s">
        <v>515</v>
      </c>
      <c r="BR24" s="2925">
        <f>0.2/(0.3+0.2+0.3)</f>
        <v>0.25</v>
      </c>
      <c r="BS24" s="2925">
        <f>0.2/(0.3+0.2)</f>
        <v>0.4</v>
      </c>
      <c r="BT24" s="2925">
        <f>0.1/(0.3+0.1+0.2)</f>
        <v>0.16666666666666666</v>
      </c>
      <c r="BU24" s="2925">
        <f>0.1/(0.3+0.1+0.2)</f>
        <v>0.16666666666666666</v>
      </c>
      <c r="BV24" s="2925">
        <f>0.2/(0.3+0.2+0.3)</f>
        <v>0.25</v>
      </c>
      <c r="BW24" s="2925">
        <f>0.2/(0.3+0.2+0.3)</f>
        <v>0.25</v>
      </c>
      <c r="BX24" s="2925">
        <f>0.3/(0.5+0.3)</f>
        <v>0.37499999999999994</v>
      </c>
      <c r="BY24" s="2925">
        <f>0.2/(0.3+0.2+0.3)</f>
        <v>0.25</v>
      </c>
      <c r="BZ24" s="2925">
        <f>0.2/(0.3+0.2+0.3)</f>
        <v>0.25</v>
      </c>
      <c r="CA24" s="2925">
        <f>0.2/(0.3+0.2)</f>
        <v>0.4</v>
      </c>
      <c r="CB24" s="2925">
        <f>0.3/(0.4+0.3)</f>
        <v>0.4285714285714286</v>
      </c>
      <c r="CC24" s="2925">
        <f>0.3/(0.4+0.3)</f>
        <v>0.4285714285714286</v>
      </c>
      <c r="CD24" s="2925">
        <f>0.3/(0.5+0.3)</f>
        <v>0.37499999999999994</v>
      </c>
      <c r="CE24" s="2272"/>
      <c r="CG24" s="1937" t="s">
        <v>514</v>
      </c>
      <c r="CH24" s="1941" t="s">
        <v>510</v>
      </c>
      <c r="CI24" s="1942" t="s">
        <v>515</v>
      </c>
      <c r="CJ24" s="2706">
        <f t="shared" si="19"/>
        <v>0.25</v>
      </c>
      <c r="CK24" s="2706">
        <f t="shared" si="20"/>
        <v>0.4</v>
      </c>
      <c r="CL24" s="2706">
        <f t="shared" si="21"/>
        <v>0.16666666666666666</v>
      </c>
      <c r="CM24" s="2706">
        <f t="shared" si="22"/>
        <v>0.16666666666666666</v>
      </c>
      <c r="CN24" s="2706">
        <f t="shared" si="23"/>
        <v>0.25</v>
      </c>
      <c r="CO24" s="2706">
        <f t="shared" si="24"/>
        <v>0.25</v>
      </c>
      <c r="CP24" s="2706">
        <f t="shared" si="25"/>
        <v>0.37499999999999994</v>
      </c>
      <c r="CQ24" s="2711">
        <f t="shared" si="26"/>
        <v>0.25</v>
      </c>
      <c r="CR24" s="2706">
        <f t="shared" si="27"/>
        <v>0.25</v>
      </c>
      <c r="CS24" s="2706">
        <f t="shared" si="28"/>
        <v>0.4</v>
      </c>
      <c r="CT24" s="2708">
        <f t="shared" si="13"/>
        <v>0.4285714285714286</v>
      </c>
      <c r="CU24" s="2706">
        <f t="shared" si="14"/>
        <v>0.4285714285714286</v>
      </c>
      <c r="CV24" s="2706">
        <f t="shared" si="15"/>
        <v>0.37499999999999994</v>
      </c>
      <c r="CX24" s="1937" t="s">
        <v>514</v>
      </c>
      <c r="CY24" s="1941" t="s">
        <v>510</v>
      </c>
      <c r="CZ24" s="1942" t="s">
        <v>515</v>
      </c>
      <c r="DA24" s="2695">
        <f t="shared" si="29"/>
        <v>0.25</v>
      </c>
      <c r="DB24" s="2695"/>
      <c r="DC24" s="2695"/>
      <c r="DD24" s="2695"/>
      <c r="DE24" s="2695"/>
      <c r="DF24" s="2695"/>
      <c r="DG24" s="2695"/>
      <c r="DH24" s="2907"/>
      <c r="DI24" s="2695"/>
      <c r="DJ24" s="2695"/>
      <c r="DK24" s="2905"/>
      <c r="DL24" s="2695"/>
      <c r="DM24" s="2695"/>
    </row>
    <row r="25" spans="2:117">
      <c r="B25" s="1916" t="str">
        <f t="shared" si="0"/>
        <v>2.1.4</v>
      </c>
      <c r="C25" s="1938" t="str">
        <f t="shared" si="1"/>
        <v>ゾーン別制御性</v>
      </c>
      <c r="D25" s="1926" t="e">
        <f t="shared" si="31"/>
        <v>#DIV/0!</v>
      </c>
      <c r="E25" s="1936" t="e">
        <f t="shared" si="31"/>
        <v>#DIV/0!</v>
      </c>
      <c r="G25" s="1936" t="e">
        <f t="shared" si="2"/>
        <v>#DIV/0!</v>
      </c>
      <c r="H25" s="1936" t="e">
        <f t="shared" si="3"/>
        <v>#DIV/0!</v>
      </c>
      <c r="I25" s="1936"/>
      <c r="J25" s="1936"/>
      <c r="K25" s="1936">
        <f>IF(スコア!O25=0,0,1)</f>
        <v>1</v>
      </c>
      <c r="L25" s="1936">
        <f>IF(スコア!R25=0,0,1)</f>
        <v>0</v>
      </c>
      <c r="M25" s="1936" t="e">
        <f t="shared" si="4"/>
        <v>#DIV/0!</v>
      </c>
      <c r="N25" s="1936" t="e">
        <f t="shared" si="5"/>
        <v>#DIV/0!</v>
      </c>
      <c r="P25" s="1937" t="str">
        <f t="shared" si="6"/>
        <v>2.1.4</v>
      </c>
      <c r="Q25" s="1937" t="str">
        <f t="shared" si="7"/>
        <v xml:space="preserve"> Q1 2.1</v>
      </c>
      <c r="R25" s="1938" t="str">
        <f t="shared" si="8"/>
        <v>ゾーン別制御性</v>
      </c>
      <c r="S25" s="2799">
        <f t="shared" si="16"/>
        <v>0.37499999999999994</v>
      </c>
      <c r="T25" s="2799">
        <f t="shared" ref="T25:T63" si="32">IF($P$3=1,BB25,IF($P$3=2,BS25,IF($P$3=3,CK25,IF($P$3=4,DB25,AK25))))</f>
        <v>0</v>
      </c>
      <c r="U25" s="2799">
        <f t="shared" ref="U25:U63" si="33">IF($P$3=1,BC25,IF($P$3=2,BT25,IF($P$3=3,CL25,IF($P$3=4,DC25,AL25))))</f>
        <v>0.33333333333333331</v>
      </c>
      <c r="V25" s="2799">
        <f t="shared" ref="V25:V63" si="34">IF($P$3=1,BD25,IF($P$3=2,BU25,IF($P$3=3,CM25,IF($P$3=4,DD25,AM25))))</f>
        <v>0.33333333333333331</v>
      </c>
      <c r="W25" s="2799">
        <f t="shared" ref="W25:W63" si="35">IF($P$3=1,BE25,IF($P$3=2,BV25,IF($P$3=3,CN25,IF($P$3=4,DE25,AN25))))</f>
        <v>0.37499999999999994</v>
      </c>
      <c r="X25" s="2799">
        <f t="shared" ref="X25:X63" si="36">IF($P$3=1,BF25,IF($P$3=2,BW25,IF($P$3=3,CO25,IF($P$3=4,DF25,AO25))))</f>
        <v>0.37499999999999994</v>
      </c>
      <c r="Y25" s="2799">
        <f t="shared" ref="Y25:Y63" si="37">IF($P$3=1,BG25,IF($P$3=2,BX25,IF($P$3=3,CP25,IF($P$3=4,DG25,AP25))))</f>
        <v>0</v>
      </c>
      <c r="Z25" s="2803">
        <f t="shared" ref="Z25:Z63" si="38">IF($P$3=1,BH25,IF($P$3=2,BY25,IF($P$3=3,CQ25,IF($P$3=4,DH25,AQ25))))</f>
        <v>0.37499999999999994</v>
      </c>
      <c r="AA25" s="2799">
        <f t="shared" si="17"/>
        <v>0.37499999999999994</v>
      </c>
      <c r="AB25" s="2799">
        <f t="shared" si="10"/>
        <v>0</v>
      </c>
      <c r="AC25" s="2800">
        <f t="shared" si="11"/>
        <v>0</v>
      </c>
      <c r="AD25" s="2799">
        <f t="shared" si="12"/>
        <v>0</v>
      </c>
      <c r="AE25" s="2799">
        <f t="shared" si="18"/>
        <v>0</v>
      </c>
      <c r="AG25" s="1937" t="s">
        <v>2523</v>
      </c>
      <c r="AH25" s="1941" t="s">
        <v>510</v>
      </c>
      <c r="AI25" s="1942" t="s">
        <v>2524</v>
      </c>
      <c r="AJ25" s="1939">
        <v>0.3</v>
      </c>
      <c r="AK25" s="1939"/>
      <c r="AL25" s="1939">
        <v>0.2</v>
      </c>
      <c r="AM25" s="1939">
        <v>0.2</v>
      </c>
      <c r="AN25" s="1939">
        <v>0.3</v>
      </c>
      <c r="AO25" s="1939">
        <v>0.3</v>
      </c>
      <c r="AP25" s="1939"/>
      <c r="AQ25" s="1955">
        <v>0.2</v>
      </c>
      <c r="AR25" s="1939">
        <v>0.3</v>
      </c>
      <c r="AS25" s="1944">
        <v>0</v>
      </c>
      <c r="AT25" s="1945"/>
      <c r="AU25" s="1944"/>
      <c r="AV25" s="1944"/>
      <c r="AX25" s="1937" t="s">
        <v>2523</v>
      </c>
      <c r="AY25" s="1941" t="s">
        <v>510</v>
      </c>
      <c r="AZ25" s="1942" t="s">
        <v>2524</v>
      </c>
      <c r="BA25" s="1944">
        <v>0.5</v>
      </c>
      <c r="BB25" s="1944"/>
      <c r="BC25" s="1944">
        <v>0.5</v>
      </c>
      <c r="BD25" s="1944">
        <v>0.5</v>
      </c>
      <c r="BE25" s="1944">
        <v>0.5</v>
      </c>
      <c r="BF25" s="1944">
        <v>0.5</v>
      </c>
      <c r="BG25" s="1944"/>
      <c r="BH25" s="1946">
        <v>0.5</v>
      </c>
      <c r="BI25" s="1944">
        <v>0.5</v>
      </c>
      <c r="BJ25" s="1944"/>
      <c r="BK25" s="1945"/>
      <c r="BL25" s="1944"/>
      <c r="BM25" s="1944"/>
      <c r="BO25" s="1937" t="s">
        <v>2523</v>
      </c>
      <c r="BP25" s="1941" t="s">
        <v>510</v>
      </c>
      <c r="BQ25" s="1942" t="s">
        <v>2524</v>
      </c>
      <c r="BR25" s="2925">
        <f>0.3/(0.3+0.2+0.3)</f>
        <v>0.37499999999999994</v>
      </c>
      <c r="BS25" s="1944"/>
      <c r="BT25" s="2925">
        <f>0.2/(0.3+0.1+0.2)</f>
        <v>0.33333333333333331</v>
      </c>
      <c r="BU25" s="2925">
        <f>0.2/(0.3+0.1+0.2)</f>
        <v>0.33333333333333331</v>
      </c>
      <c r="BV25" s="2925">
        <f>0.3/(0.3+0.2+0.3)</f>
        <v>0.37499999999999994</v>
      </c>
      <c r="BW25" s="2925">
        <f>0.3/(0.3+0.2+0.3)</f>
        <v>0.37499999999999994</v>
      </c>
      <c r="BX25" s="1944"/>
      <c r="BY25" s="2925">
        <f>0.3/(0.3+0.2+0.3)</f>
        <v>0.37499999999999994</v>
      </c>
      <c r="BZ25" s="2925">
        <f>0.3/(0.3+0.2+0.3)</f>
        <v>0.37499999999999994</v>
      </c>
      <c r="CA25" s="1944"/>
      <c r="CB25" s="1945"/>
      <c r="CC25" s="1944"/>
      <c r="CD25" s="1944"/>
      <c r="CE25" s="2272"/>
      <c r="CG25" s="1937" t="s">
        <v>2523</v>
      </c>
      <c r="CH25" s="1941" t="s">
        <v>510</v>
      </c>
      <c r="CI25" s="1942" t="s">
        <v>2524</v>
      </c>
      <c r="CJ25" s="2706">
        <f t="shared" si="19"/>
        <v>0.37499999999999994</v>
      </c>
      <c r="CK25" s="2706">
        <f t="shared" si="20"/>
        <v>0</v>
      </c>
      <c r="CL25" s="2706">
        <f t="shared" si="21"/>
        <v>0.33333333333333331</v>
      </c>
      <c r="CM25" s="2706">
        <f t="shared" si="22"/>
        <v>0.33333333333333331</v>
      </c>
      <c r="CN25" s="2706">
        <f t="shared" si="23"/>
        <v>0.37499999999999994</v>
      </c>
      <c r="CO25" s="2706">
        <f t="shared" si="24"/>
        <v>0.37499999999999994</v>
      </c>
      <c r="CP25" s="2706">
        <f t="shared" si="25"/>
        <v>0</v>
      </c>
      <c r="CQ25" s="2711">
        <f t="shared" si="26"/>
        <v>0.37499999999999994</v>
      </c>
      <c r="CR25" s="2706">
        <f t="shared" si="27"/>
        <v>0.37499999999999994</v>
      </c>
      <c r="CS25" s="2706">
        <f t="shared" si="28"/>
        <v>0</v>
      </c>
      <c r="CT25" s="2708">
        <f t="shared" si="13"/>
        <v>0</v>
      </c>
      <c r="CU25" s="2706">
        <f t="shared" si="14"/>
        <v>0</v>
      </c>
      <c r="CV25" s="2706">
        <f t="shared" si="15"/>
        <v>0</v>
      </c>
      <c r="CX25" s="1937" t="s">
        <v>2523</v>
      </c>
      <c r="CY25" s="1941" t="s">
        <v>510</v>
      </c>
      <c r="CZ25" s="1942" t="s">
        <v>2524</v>
      </c>
      <c r="DA25" s="2695">
        <f t="shared" si="29"/>
        <v>0.37499999999999994</v>
      </c>
      <c r="DB25" s="2695"/>
      <c r="DC25" s="2695"/>
      <c r="DD25" s="2695"/>
      <c r="DE25" s="2695"/>
      <c r="DF25" s="2695"/>
      <c r="DG25" s="2695"/>
      <c r="DH25" s="2907"/>
      <c r="DI25" s="2695"/>
      <c r="DJ25" s="2695"/>
      <c r="DK25" s="2905"/>
      <c r="DL25" s="2695"/>
      <c r="DM25" s="2695"/>
    </row>
    <row r="26" spans="2:117" hidden="1">
      <c r="B26" s="1916" t="str">
        <f t="shared" si="0"/>
        <v>2.1.5</v>
      </c>
      <c r="C26" s="1938">
        <f t="shared" si="1"/>
        <v>0</v>
      </c>
      <c r="D26" s="1926" t="e">
        <f t="shared" si="31"/>
        <v>#DIV/0!</v>
      </c>
      <c r="E26" s="1936" t="e">
        <f t="shared" si="31"/>
        <v>#DIV/0!</v>
      </c>
      <c r="G26" s="1936" t="e">
        <f t="shared" si="2"/>
        <v>#DIV/0!</v>
      </c>
      <c r="H26" s="1936" t="e">
        <f t="shared" si="3"/>
        <v>#DIV/0!</v>
      </c>
      <c r="I26" s="1936"/>
      <c r="J26" s="1936"/>
      <c r="K26" s="1936">
        <f>IF(スコア!O26=0,0,1)</f>
        <v>0</v>
      </c>
      <c r="L26" s="1936">
        <f>IF(スコア!R26=0,0,1)</f>
        <v>0</v>
      </c>
      <c r="M26" s="1936" t="e">
        <f t="shared" si="4"/>
        <v>#DIV/0!</v>
      </c>
      <c r="N26" s="1936" t="e">
        <f t="shared" si="5"/>
        <v>#DIV/0!</v>
      </c>
      <c r="P26" s="1937" t="str">
        <f t="shared" si="6"/>
        <v>2.1.5</v>
      </c>
      <c r="Q26" s="1937" t="str">
        <f t="shared" si="7"/>
        <v xml:space="preserve"> Q1 2.1</v>
      </c>
      <c r="R26" s="1938">
        <f t="shared" si="8"/>
        <v>0</v>
      </c>
      <c r="S26" s="2799">
        <f t="shared" si="16"/>
        <v>0</v>
      </c>
      <c r="T26" s="2799">
        <f t="shared" si="32"/>
        <v>0</v>
      </c>
      <c r="U26" s="2799">
        <f t="shared" si="33"/>
        <v>0</v>
      </c>
      <c r="V26" s="2799">
        <f t="shared" si="34"/>
        <v>0</v>
      </c>
      <c r="W26" s="2799">
        <f t="shared" si="35"/>
        <v>0</v>
      </c>
      <c r="X26" s="2799">
        <f t="shared" si="36"/>
        <v>0</v>
      </c>
      <c r="Y26" s="2799">
        <f t="shared" si="37"/>
        <v>0</v>
      </c>
      <c r="Z26" s="2803">
        <f t="shared" si="38"/>
        <v>0</v>
      </c>
      <c r="AA26" s="2799">
        <f t="shared" si="17"/>
        <v>0</v>
      </c>
      <c r="AB26" s="2799">
        <f t="shared" si="10"/>
        <v>0</v>
      </c>
      <c r="AC26" s="2800">
        <f t="shared" si="11"/>
        <v>0</v>
      </c>
      <c r="AD26" s="2799">
        <f t="shared" si="12"/>
        <v>0</v>
      </c>
      <c r="AE26" s="2799">
        <f t="shared" si="18"/>
        <v>0</v>
      </c>
      <c r="AG26" s="1937" t="s">
        <v>2525</v>
      </c>
      <c r="AH26" s="1941" t="s">
        <v>510</v>
      </c>
      <c r="AI26" s="1942" t="s">
        <v>2526</v>
      </c>
      <c r="AJ26" s="1949">
        <v>0.1</v>
      </c>
      <c r="AK26" s="1949">
        <v>0.1</v>
      </c>
      <c r="AL26" s="1949">
        <v>0.1</v>
      </c>
      <c r="AM26" s="1949">
        <v>0.1</v>
      </c>
      <c r="AN26" s="1949">
        <v>0.1</v>
      </c>
      <c r="AO26" s="1949">
        <v>0.1</v>
      </c>
      <c r="AP26" s="1949">
        <v>0.2</v>
      </c>
      <c r="AQ26" s="1956">
        <v>0.1</v>
      </c>
      <c r="AR26" s="1949">
        <v>0.1</v>
      </c>
      <c r="AS26" s="1944">
        <v>0.1</v>
      </c>
      <c r="AT26" s="1945">
        <v>0.3</v>
      </c>
      <c r="AU26" s="1944">
        <v>0.3</v>
      </c>
      <c r="AV26" s="1944"/>
      <c r="AX26" s="1937" t="s">
        <v>2525</v>
      </c>
      <c r="AY26" s="1941" t="s">
        <v>510</v>
      </c>
      <c r="AZ26" s="1942" t="s">
        <v>2526</v>
      </c>
      <c r="BA26" s="1944"/>
      <c r="BB26" s="1944"/>
      <c r="BC26" s="1944"/>
      <c r="BD26" s="1944"/>
      <c r="BE26" s="1944"/>
      <c r="BF26" s="1944"/>
      <c r="BG26" s="1944"/>
      <c r="BH26" s="1946"/>
      <c r="BI26" s="1944"/>
      <c r="BJ26" s="1944"/>
      <c r="BK26" s="1945"/>
      <c r="BL26" s="1944"/>
      <c r="BM26" s="1944"/>
      <c r="BO26" s="1937" t="s">
        <v>2525</v>
      </c>
      <c r="BP26" s="1941" t="s">
        <v>510</v>
      </c>
      <c r="BQ26" s="1942"/>
      <c r="BR26" s="1944"/>
      <c r="BS26" s="1944"/>
      <c r="BT26" s="1944"/>
      <c r="BU26" s="1944"/>
      <c r="BV26" s="1944"/>
      <c r="BW26" s="1944"/>
      <c r="BX26" s="1944"/>
      <c r="BY26" s="2458"/>
      <c r="BZ26" s="1944"/>
      <c r="CA26" s="1944"/>
      <c r="CB26" s="1945"/>
      <c r="CC26" s="1944"/>
      <c r="CD26" s="1944"/>
      <c r="CE26" s="2272"/>
      <c r="CG26" s="1937" t="s">
        <v>2525</v>
      </c>
      <c r="CH26" s="1941" t="s">
        <v>510</v>
      </c>
      <c r="CI26" s="1942"/>
      <c r="CJ26" s="2706">
        <f t="shared" si="19"/>
        <v>0</v>
      </c>
      <c r="CK26" s="2706">
        <f t="shared" si="20"/>
        <v>0</v>
      </c>
      <c r="CL26" s="2706">
        <f t="shared" si="21"/>
        <v>0</v>
      </c>
      <c r="CM26" s="2706">
        <f t="shared" si="22"/>
        <v>0</v>
      </c>
      <c r="CN26" s="2706">
        <f t="shared" si="23"/>
        <v>0</v>
      </c>
      <c r="CO26" s="2706">
        <f t="shared" si="24"/>
        <v>0</v>
      </c>
      <c r="CP26" s="2706">
        <f t="shared" si="25"/>
        <v>0</v>
      </c>
      <c r="CQ26" s="2711">
        <f t="shared" si="26"/>
        <v>0</v>
      </c>
      <c r="CR26" s="2706">
        <f t="shared" si="27"/>
        <v>0</v>
      </c>
      <c r="CS26" s="2706">
        <f t="shared" si="28"/>
        <v>0</v>
      </c>
      <c r="CT26" s="2708">
        <f t="shared" si="13"/>
        <v>0</v>
      </c>
      <c r="CU26" s="2706">
        <f t="shared" si="14"/>
        <v>0</v>
      </c>
      <c r="CV26" s="2706">
        <f t="shared" si="15"/>
        <v>0</v>
      </c>
      <c r="CX26" s="1937" t="s">
        <v>2525</v>
      </c>
      <c r="CY26" s="1941" t="s">
        <v>510</v>
      </c>
      <c r="CZ26" s="1942"/>
      <c r="DA26" s="2695">
        <f t="shared" si="29"/>
        <v>0</v>
      </c>
      <c r="DB26" s="2695"/>
      <c r="DC26" s="2695"/>
      <c r="DD26" s="2695"/>
      <c r="DE26" s="2695"/>
      <c r="DF26" s="2695"/>
      <c r="DG26" s="2695"/>
      <c r="DH26" s="2907"/>
      <c r="DI26" s="2695"/>
      <c r="DJ26" s="2695"/>
      <c r="DK26" s="2905"/>
      <c r="DL26" s="2695"/>
      <c r="DM26" s="2695"/>
    </row>
    <row r="27" spans="2:117" hidden="1">
      <c r="B27" s="1916" t="str">
        <f t="shared" si="0"/>
        <v>2.1.6</v>
      </c>
      <c r="C27" s="1938">
        <f t="shared" si="1"/>
        <v>0</v>
      </c>
      <c r="D27" s="1926" t="e">
        <f t="shared" si="31"/>
        <v>#DIV/0!</v>
      </c>
      <c r="E27" s="1936" t="e">
        <f t="shared" si="31"/>
        <v>#DIV/0!</v>
      </c>
      <c r="G27" s="1936" t="e">
        <f t="shared" si="2"/>
        <v>#DIV/0!</v>
      </c>
      <c r="H27" s="1936" t="e">
        <f t="shared" si="3"/>
        <v>#DIV/0!</v>
      </c>
      <c r="I27" s="1936"/>
      <c r="J27" s="1936"/>
      <c r="K27" s="1936">
        <f>IF(スコア!O27=0,0,1)</f>
        <v>0</v>
      </c>
      <c r="L27" s="1936">
        <f>IF(スコア!R27=0,0,1)</f>
        <v>0</v>
      </c>
      <c r="M27" s="1936" t="e">
        <f t="shared" si="4"/>
        <v>#DIV/0!</v>
      </c>
      <c r="N27" s="1936" t="e">
        <f t="shared" si="5"/>
        <v>#DIV/0!</v>
      </c>
      <c r="P27" s="1937" t="str">
        <f t="shared" si="6"/>
        <v>2.1.6</v>
      </c>
      <c r="Q27" s="1937" t="str">
        <f t="shared" si="7"/>
        <v xml:space="preserve"> Q1 2.1</v>
      </c>
      <c r="R27" s="1938">
        <f t="shared" si="8"/>
        <v>0</v>
      </c>
      <c r="S27" s="2799">
        <f t="shared" si="16"/>
        <v>0</v>
      </c>
      <c r="T27" s="2799">
        <f t="shared" si="32"/>
        <v>0</v>
      </c>
      <c r="U27" s="2799">
        <f t="shared" si="33"/>
        <v>0</v>
      </c>
      <c r="V27" s="2799">
        <f t="shared" si="34"/>
        <v>0</v>
      </c>
      <c r="W27" s="2799">
        <f t="shared" si="35"/>
        <v>0</v>
      </c>
      <c r="X27" s="2799">
        <f t="shared" si="36"/>
        <v>0</v>
      </c>
      <c r="Y27" s="2799">
        <f t="shared" si="37"/>
        <v>0</v>
      </c>
      <c r="Z27" s="2803">
        <f t="shared" si="38"/>
        <v>0</v>
      </c>
      <c r="AA27" s="2799">
        <f t="shared" si="17"/>
        <v>0</v>
      </c>
      <c r="AB27" s="2799">
        <f t="shared" si="10"/>
        <v>0</v>
      </c>
      <c r="AC27" s="2800">
        <f t="shared" si="11"/>
        <v>0</v>
      </c>
      <c r="AD27" s="2799">
        <f t="shared" si="12"/>
        <v>0</v>
      </c>
      <c r="AE27" s="2799">
        <f t="shared" si="18"/>
        <v>0</v>
      </c>
      <c r="AG27" s="1937" t="s">
        <v>2527</v>
      </c>
      <c r="AH27" s="1941" t="s">
        <v>510</v>
      </c>
      <c r="AI27" s="1942" t="s">
        <v>2528</v>
      </c>
      <c r="AJ27" s="1949"/>
      <c r="AK27" s="1949"/>
      <c r="AL27" s="1949"/>
      <c r="AM27" s="1949"/>
      <c r="AN27" s="1949"/>
      <c r="AO27" s="1949"/>
      <c r="AP27" s="1949"/>
      <c r="AQ27" s="1956"/>
      <c r="AR27" s="1949"/>
      <c r="AS27" s="1944">
        <v>0</v>
      </c>
      <c r="AT27" s="1945">
        <v>0.2</v>
      </c>
      <c r="AU27" s="1944">
        <v>0.2</v>
      </c>
      <c r="AV27" s="1944">
        <v>0.4</v>
      </c>
      <c r="AX27" s="1937" t="s">
        <v>2527</v>
      </c>
      <c r="AY27" s="1941" t="s">
        <v>510</v>
      </c>
      <c r="AZ27" s="1942" t="s">
        <v>2528</v>
      </c>
      <c r="BA27" s="1944"/>
      <c r="BB27" s="1944"/>
      <c r="BC27" s="1944"/>
      <c r="BD27" s="1944"/>
      <c r="BE27" s="1944"/>
      <c r="BF27" s="1944"/>
      <c r="BG27" s="1944"/>
      <c r="BH27" s="1946"/>
      <c r="BI27" s="1944"/>
      <c r="BJ27" s="1944"/>
      <c r="BK27" s="1945"/>
      <c r="BL27" s="1944"/>
      <c r="BM27" s="1944"/>
      <c r="BO27" s="1937" t="s">
        <v>2527</v>
      </c>
      <c r="BP27" s="1941" t="s">
        <v>510</v>
      </c>
      <c r="BQ27" s="1942"/>
      <c r="BR27" s="1944"/>
      <c r="BS27" s="1944"/>
      <c r="BT27" s="1944"/>
      <c r="BU27" s="1944"/>
      <c r="BV27" s="1944"/>
      <c r="BW27" s="1944"/>
      <c r="BX27" s="1944"/>
      <c r="BY27" s="2458"/>
      <c r="BZ27" s="1944"/>
      <c r="CA27" s="1944"/>
      <c r="CB27" s="1945"/>
      <c r="CC27" s="1944"/>
      <c r="CD27" s="1944"/>
      <c r="CE27" s="2272"/>
      <c r="CG27" s="1937" t="s">
        <v>2527</v>
      </c>
      <c r="CH27" s="1941" t="s">
        <v>510</v>
      </c>
      <c r="CI27" s="1942"/>
      <c r="CJ27" s="2706">
        <f t="shared" si="19"/>
        <v>0</v>
      </c>
      <c r="CK27" s="2706">
        <f t="shared" si="20"/>
        <v>0</v>
      </c>
      <c r="CL27" s="2706">
        <f t="shared" si="21"/>
        <v>0</v>
      </c>
      <c r="CM27" s="2706">
        <f t="shared" si="22"/>
        <v>0</v>
      </c>
      <c r="CN27" s="2706">
        <f t="shared" si="23"/>
        <v>0</v>
      </c>
      <c r="CO27" s="2706">
        <f t="shared" si="24"/>
        <v>0</v>
      </c>
      <c r="CP27" s="2706">
        <f t="shared" si="25"/>
        <v>0</v>
      </c>
      <c r="CQ27" s="2711">
        <f t="shared" si="26"/>
        <v>0</v>
      </c>
      <c r="CR27" s="2706">
        <f t="shared" si="27"/>
        <v>0</v>
      </c>
      <c r="CS27" s="2706">
        <f t="shared" si="28"/>
        <v>0</v>
      </c>
      <c r="CT27" s="2708">
        <f t="shared" si="13"/>
        <v>0</v>
      </c>
      <c r="CU27" s="2706">
        <f t="shared" si="14"/>
        <v>0</v>
      </c>
      <c r="CV27" s="2706">
        <f t="shared" si="15"/>
        <v>0</v>
      </c>
      <c r="CX27" s="1937" t="s">
        <v>2527</v>
      </c>
      <c r="CY27" s="1941" t="s">
        <v>510</v>
      </c>
      <c r="CZ27" s="1942"/>
      <c r="DA27" s="2695">
        <f t="shared" si="29"/>
        <v>0</v>
      </c>
      <c r="DB27" s="2695"/>
      <c r="DC27" s="2695"/>
      <c r="DD27" s="2695"/>
      <c r="DE27" s="2695"/>
      <c r="DF27" s="2695"/>
      <c r="DG27" s="2695"/>
      <c r="DH27" s="2907"/>
      <c r="DI27" s="2695"/>
      <c r="DJ27" s="2695"/>
      <c r="DK27" s="2905"/>
      <c r="DL27" s="2695"/>
      <c r="DM27" s="2695"/>
    </row>
    <row r="28" spans="2:117" hidden="1">
      <c r="B28" s="1916" t="str">
        <f t="shared" si="0"/>
        <v>2.1.7</v>
      </c>
      <c r="C28" s="1938">
        <f t="shared" si="1"/>
        <v>0</v>
      </c>
      <c r="D28" s="1926" t="e">
        <f t="shared" si="31"/>
        <v>#DIV/0!</v>
      </c>
      <c r="E28" s="1936" t="e">
        <f t="shared" si="31"/>
        <v>#DIV/0!</v>
      </c>
      <c r="G28" s="1936" t="e">
        <f t="shared" si="2"/>
        <v>#DIV/0!</v>
      </c>
      <c r="H28" s="1936" t="e">
        <f t="shared" si="3"/>
        <v>#DIV/0!</v>
      </c>
      <c r="I28" s="1936"/>
      <c r="J28" s="1936"/>
      <c r="K28" s="1936">
        <f>IF(スコア!O28=0,0,1)</f>
        <v>0</v>
      </c>
      <c r="L28" s="1936">
        <f>IF(スコア!R28=0,0,1)</f>
        <v>0</v>
      </c>
      <c r="M28" s="1936" t="e">
        <f t="shared" si="4"/>
        <v>#DIV/0!</v>
      </c>
      <c r="N28" s="1936" t="e">
        <f t="shared" si="5"/>
        <v>#DIV/0!</v>
      </c>
      <c r="P28" s="1937" t="str">
        <f t="shared" si="6"/>
        <v>2.1.7</v>
      </c>
      <c r="Q28" s="1937" t="str">
        <f t="shared" si="7"/>
        <v xml:space="preserve"> Q1 2.1</v>
      </c>
      <c r="R28" s="1938">
        <f t="shared" si="8"/>
        <v>0</v>
      </c>
      <c r="S28" s="2799">
        <f t="shared" si="16"/>
        <v>0</v>
      </c>
      <c r="T28" s="2799">
        <f t="shared" si="32"/>
        <v>0</v>
      </c>
      <c r="U28" s="2799">
        <f t="shared" si="33"/>
        <v>0</v>
      </c>
      <c r="V28" s="2799">
        <f t="shared" si="34"/>
        <v>0</v>
      </c>
      <c r="W28" s="2799">
        <f t="shared" si="35"/>
        <v>0</v>
      </c>
      <c r="X28" s="2799">
        <f t="shared" si="36"/>
        <v>0</v>
      </c>
      <c r="Y28" s="2799">
        <f t="shared" si="37"/>
        <v>0</v>
      </c>
      <c r="Z28" s="2803">
        <f t="shared" si="38"/>
        <v>0</v>
      </c>
      <c r="AA28" s="2799">
        <f t="shared" si="17"/>
        <v>0</v>
      </c>
      <c r="AB28" s="2799">
        <f t="shared" si="10"/>
        <v>0</v>
      </c>
      <c r="AC28" s="2800">
        <f t="shared" si="11"/>
        <v>0</v>
      </c>
      <c r="AD28" s="2799">
        <f t="shared" si="12"/>
        <v>0</v>
      </c>
      <c r="AE28" s="2799">
        <f t="shared" si="18"/>
        <v>0</v>
      </c>
      <c r="AG28" s="1937" t="s">
        <v>2529</v>
      </c>
      <c r="AH28" s="1941" t="s">
        <v>510</v>
      </c>
      <c r="AI28" s="1942" t="s">
        <v>2530</v>
      </c>
      <c r="AJ28" s="1949">
        <v>0.1</v>
      </c>
      <c r="AK28" s="1949">
        <v>0.2</v>
      </c>
      <c r="AL28" s="1949"/>
      <c r="AM28" s="1949"/>
      <c r="AN28" s="1949">
        <v>0.1</v>
      </c>
      <c r="AO28" s="1949">
        <v>0.1</v>
      </c>
      <c r="AP28" s="1949"/>
      <c r="AQ28" s="1956"/>
      <c r="AR28" s="1949">
        <v>0.1</v>
      </c>
      <c r="AS28" s="1944">
        <v>0.2</v>
      </c>
      <c r="AT28" s="1945"/>
      <c r="AU28" s="1944"/>
      <c r="AV28" s="1944"/>
      <c r="AX28" s="1937" t="s">
        <v>2529</v>
      </c>
      <c r="AY28" s="1941" t="s">
        <v>510</v>
      </c>
      <c r="AZ28" s="1942" t="s">
        <v>2530</v>
      </c>
      <c r="BA28" s="1944"/>
      <c r="BB28" s="1944"/>
      <c r="BC28" s="1944"/>
      <c r="BD28" s="1944"/>
      <c r="BE28" s="1944"/>
      <c r="BF28" s="1944"/>
      <c r="BG28" s="1944"/>
      <c r="BH28" s="1946"/>
      <c r="BI28" s="1944"/>
      <c r="BJ28" s="1944"/>
      <c r="BK28" s="1945"/>
      <c r="BL28" s="1944"/>
      <c r="BM28" s="1944"/>
      <c r="BO28" s="1937" t="s">
        <v>2529</v>
      </c>
      <c r="BP28" s="1941" t="s">
        <v>510</v>
      </c>
      <c r="BQ28" s="1942"/>
      <c r="BR28" s="1944"/>
      <c r="BS28" s="1944"/>
      <c r="BT28" s="1944"/>
      <c r="BU28" s="1944"/>
      <c r="BV28" s="1944"/>
      <c r="BW28" s="1944"/>
      <c r="BX28" s="1944"/>
      <c r="BY28" s="2458"/>
      <c r="BZ28" s="1944"/>
      <c r="CA28" s="1944"/>
      <c r="CB28" s="1945"/>
      <c r="CC28" s="1944"/>
      <c r="CD28" s="1944"/>
      <c r="CE28" s="2272"/>
      <c r="CG28" s="1937" t="s">
        <v>2529</v>
      </c>
      <c r="CH28" s="1941" t="s">
        <v>510</v>
      </c>
      <c r="CI28" s="1942"/>
      <c r="CJ28" s="2706">
        <f t="shared" si="19"/>
        <v>0</v>
      </c>
      <c r="CK28" s="2706">
        <f t="shared" si="20"/>
        <v>0</v>
      </c>
      <c r="CL28" s="2706">
        <f t="shared" si="21"/>
        <v>0</v>
      </c>
      <c r="CM28" s="2706">
        <f t="shared" si="22"/>
        <v>0</v>
      </c>
      <c r="CN28" s="2706">
        <f t="shared" si="23"/>
        <v>0</v>
      </c>
      <c r="CO28" s="2706">
        <f t="shared" si="24"/>
        <v>0</v>
      </c>
      <c r="CP28" s="2706">
        <f t="shared" si="25"/>
        <v>0</v>
      </c>
      <c r="CQ28" s="2711">
        <f t="shared" si="26"/>
        <v>0</v>
      </c>
      <c r="CR28" s="2706">
        <f t="shared" si="27"/>
        <v>0</v>
      </c>
      <c r="CS28" s="2706">
        <f t="shared" si="28"/>
        <v>0</v>
      </c>
      <c r="CT28" s="2708">
        <f t="shared" si="13"/>
        <v>0</v>
      </c>
      <c r="CU28" s="2706">
        <f t="shared" si="14"/>
        <v>0</v>
      </c>
      <c r="CV28" s="2706">
        <f t="shared" si="15"/>
        <v>0</v>
      </c>
      <c r="CX28" s="1937" t="s">
        <v>2529</v>
      </c>
      <c r="CY28" s="1941" t="s">
        <v>510</v>
      </c>
      <c r="CZ28" s="1942"/>
      <c r="DA28" s="2695">
        <f t="shared" si="29"/>
        <v>0</v>
      </c>
      <c r="DB28" s="2695"/>
      <c r="DC28" s="2695"/>
      <c r="DD28" s="2695"/>
      <c r="DE28" s="2695"/>
      <c r="DF28" s="2695"/>
      <c r="DG28" s="2695"/>
      <c r="DH28" s="2907"/>
      <c r="DI28" s="2695"/>
      <c r="DJ28" s="2695"/>
      <c r="DK28" s="2905"/>
      <c r="DL28" s="2695"/>
      <c r="DM28" s="2695"/>
    </row>
    <row r="29" spans="2:117" hidden="1">
      <c r="B29" s="1916" t="str">
        <f t="shared" si="0"/>
        <v>2.1.8</v>
      </c>
      <c r="C29" s="1938">
        <f t="shared" si="1"/>
        <v>0</v>
      </c>
      <c r="D29" s="1926" t="e">
        <f t="shared" si="31"/>
        <v>#DIV/0!</v>
      </c>
      <c r="E29" s="1936" t="e">
        <f t="shared" si="31"/>
        <v>#DIV/0!</v>
      </c>
      <c r="G29" s="1936" t="e">
        <f t="shared" si="2"/>
        <v>#DIV/0!</v>
      </c>
      <c r="H29" s="1936" t="e">
        <f t="shared" si="3"/>
        <v>#DIV/0!</v>
      </c>
      <c r="I29" s="1936"/>
      <c r="J29" s="1936"/>
      <c r="K29" s="1936">
        <f>IF(スコア!O29=0,0,1)</f>
        <v>0</v>
      </c>
      <c r="L29" s="1936">
        <f>IF(スコア!R29=0,0,1)</f>
        <v>0</v>
      </c>
      <c r="M29" s="1936" t="e">
        <f t="shared" si="4"/>
        <v>#DIV/0!</v>
      </c>
      <c r="N29" s="1936" t="e">
        <f t="shared" si="5"/>
        <v>#DIV/0!</v>
      </c>
      <c r="P29" s="1937" t="str">
        <f t="shared" si="6"/>
        <v>2.1.8</v>
      </c>
      <c r="Q29" s="1937" t="str">
        <f t="shared" si="7"/>
        <v xml:space="preserve"> Q1 2.1</v>
      </c>
      <c r="R29" s="1938">
        <f t="shared" si="8"/>
        <v>0</v>
      </c>
      <c r="S29" s="2799">
        <f t="shared" si="16"/>
        <v>0</v>
      </c>
      <c r="T29" s="2799">
        <f t="shared" si="32"/>
        <v>0</v>
      </c>
      <c r="U29" s="2799">
        <f t="shared" si="33"/>
        <v>0</v>
      </c>
      <c r="V29" s="2799">
        <f t="shared" si="34"/>
        <v>0</v>
      </c>
      <c r="W29" s="2799">
        <f t="shared" si="35"/>
        <v>0</v>
      </c>
      <c r="X29" s="2799">
        <f t="shared" si="36"/>
        <v>0</v>
      </c>
      <c r="Y29" s="2799">
        <f t="shared" si="37"/>
        <v>0</v>
      </c>
      <c r="Z29" s="2803">
        <f t="shared" si="38"/>
        <v>0</v>
      </c>
      <c r="AA29" s="2799">
        <f t="shared" si="17"/>
        <v>0</v>
      </c>
      <c r="AB29" s="2799">
        <f t="shared" si="10"/>
        <v>0</v>
      </c>
      <c r="AC29" s="2800">
        <f t="shared" si="11"/>
        <v>0</v>
      </c>
      <c r="AD29" s="2799">
        <f t="shared" si="12"/>
        <v>0</v>
      </c>
      <c r="AE29" s="2799">
        <f t="shared" si="18"/>
        <v>0</v>
      </c>
      <c r="AG29" s="1937" t="s">
        <v>2531</v>
      </c>
      <c r="AH29" s="1941" t="s">
        <v>510</v>
      </c>
      <c r="AI29" s="1942" t="s">
        <v>2532</v>
      </c>
      <c r="AJ29" s="1949"/>
      <c r="AK29" s="1949"/>
      <c r="AL29" s="1949">
        <v>0.1</v>
      </c>
      <c r="AM29" s="1949">
        <v>0.1</v>
      </c>
      <c r="AN29" s="1949"/>
      <c r="AO29" s="1949"/>
      <c r="AP29" s="1949"/>
      <c r="AQ29" s="1956"/>
      <c r="AR29" s="1949"/>
      <c r="AS29" s="1944">
        <v>0</v>
      </c>
      <c r="AT29" s="1945"/>
      <c r="AU29" s="1944"/>
      <c r="AV29" s="1944"/>
      <c r="AX29" s="1937" t="s">
        <v>2531</v>
      </c>
      <c r="AY29" s="1941" t="s">
        <v>510</v>
      </c>
      <c r="AZ29" s="1942" t="s">
        <v>2532</v>
      </c>
      <c r="BA29" s="1944"/>
      <c r="BB29" s="1944"/>
      <c r="BC29" s="1944"/>
      <c r="BD29" s="1944"/>
      <c r="BE29" s="1944"/>
      <c r="BF29" s="1944"/>
      <c r="BG29" s="1944"/>
      <c r="BH29" s="1946"/>
      <c r="BI29" s="1944"/>
      <c r="BJ29" s="1944"/>
      <c r="BK29" s="1945"/>
      <c r="BL29" s="1944"/>
      <c r="BM29" s="1944"/>
      <c r="BO29" s="1937" t="s">
        <v>2531</v>
      </c>
      <c r="BP29" s="1941" t="s">
        <v>510</v>
      </c>
      <c r="BQ29" s="1942"/>
      <c r="BR29" s="1944"/>
      <c r="BS29" s="1944"/>
      <c r="BT29" s="1944"/>
      <c r="BU29" s="1944"/>
      <c r="BV29" s="1944"/>
      <c r="BW29" s="1944"/>
      <c r="BX29" s="1944"/>
      <c r="BY29" s="2458"/>
      <c r="BZ29" s="1944"/>
      <c r="CA29" s="1944"/>
      <c r="CB29" s="1945"/>
      <c r="CC29" s="1944"/>
      <c r="CD29" s="1944"/>
      <c r="CE29" s="2272"/>
      <c r="CG29" s="1937" t="s">
        <v>2531</v>
      </c>
      <c r="CH29" s="1941" t="s">
        <v>510</v>
      </c>
      <c r="CI29" s="1942"/>
      <c r="CJ29" s="2706">
        <f t="shared" si="19"/>
        <v>0</v>
      </c>
      <c r="CK29" s="2706">
        <f t="shared" si="20"/>
        <v>0</v>
      </c>
      <c r="CL29" s="2706">
        <f t="shared" si="21"/>
        <v>0</v>
      </c>
      <c r="CM29" s="2706">
        <f t="shared" si="22"/>
        <v>0</v>
      </c>
      <c r="CN29" s="2706">
        <f t="shared" si="23"/>
        <v>0</v>
      </c>
      <c r="CO29" s="2706">
        <f t="shared" si="24"/>
        <v>0</v>
      </c>
      <c r="CP29" s="2706">
        <f t="shared" si="25"/>
        <v>0</v>
      </c>
      <c r="CQ29" s="2711">
        <f t="shared" si="26"/>
        <v>0</v>
      </c>
      <c r="CR29" s="2706">
        <f t="shared" si="27"/>
        <v>0</v>
      </c>
      <c r="CS29" s="2706">
        <f t="shared" si="28"/>
        <v>0</v>
      </c>
      <c r="CT29" s="2708">
        <f t="shared" si="13"/>
        <v>0</v>
      </c>
      <c r="CU29" s="2706">
        <f t="shared" si="14"/>
        <v>0</v>
      </c>
      <c r="CV29" s="2706">
        <f t="shared" si="15"/>
        <v>0</v>
      </c>
      <c r="CX29" s="1937" t="s">
        <v>2531</v>
      </c>
      <c r="CY29" s="1941" t="s">
        <v>510</v>
      </c>
      <c r="CZ29" s="1942"/>
      <c r="DA29" s="2695">
        <f t="shared" si="29"/>
        <v>0</v>
      </c>
      <c r="DB29" s="2695"/>
      <c r="DC29" s="2695"/>
      <c r="DD29" s="2695"/>
      <c r="DE29" s="2695"/>
      <c r="DF29" s="2695"/>
      <c r="DG29" s="2695"/>
      <c r="DH29" s="2907"/>
      <c r="DI29" s="2695"/>
      <c r="DJ29" s="2695"/>
      <c r="DK29" s="2905"/>
      <c r="DL29" s="2695"/>
      <c r="DM29" s="2695"/>
    </row>
    <row r="30" spans="2:117">
      <c r="B30" s="1916">
        <f t="shared" si="0"/>
        <v>2.2000000000000002</v>
      </c>
      <c r="C30" s="1938" t="str">
        <f t="shared" si="1"/>
        <v>湿度制御</v>
      </c>
      <c r="D30" s="1935" t="e">
        <f t="shared" ref="D30:E32" si="39">IF(I$20=0,0,G30/I$20)</f>
        <v>#DIV/0!</v>
      </c>
      <c r="E30" s="1936" t="e">
        <f t="shared" si="39"/>
        <v>#DIV/0!</v>
      </c>
      <c r="G30" s="1936" t="e">
        <f t="shared" si="2"/>
        <v>#DIV/0!</v>
      </c>
      <c r="H30" s="1936" t="e">
        <f t="shared" si="3"/>
        <v>#DIV/0!</v>
      </c>
      <c r="I30" s="1936"/>
      <c r="J30" s="1936"/>
      <c r="K30" s="1936">
        <f>IF(スコア!O30=0,0,1)</f>
        <v>1</v>
      </c>
      <c r="L30" s="1936">
        <f>IF(スコア!R30=0,0,1)</f>
        <v>1</v>
      </c>
      <c r="M30" s="1936" t="e">
        <f t="shared" si="4"/>
        <v>#DIV/0!</v>
      </c>
      <c r="N30" s="1936" t="e">
        <f t="shared" si="5"/>
        <v>#DIV/0!</v>
      </c>
      <c r="P30" s="1937">
        <f t="shared" si="6"/>
        <v>2.2000000000000002</v>
      </c>
      <c r="Q30" s="1937" t="str">
        <f t="shared" si="7"/>
        <v xml:space="preserve"> Q1 2</v>
      </c>
      <c r="R30" s="1938" t="str">
        <f t="shared" si="8"/>
        <v>湿度制御</v>
      </c>
      <c r="S30" s="2799">
        <f t="shared" si="16"/>
        <v>0.2</v>
      </c>
      <c r="T30" s="2799">
        <f t="shared" si="32"/>
        <v>0.2</v>
      </c>
      <c r="U30" s="2799">
        <f t="shared" si="33"/>
        <v>0.2</v>
      </c>
      <c r="V30" s="2799">
        <f t="shared" si="34"/>
        <v>0.2</v>
      </c>
      <c r="W30" s="2799">
        <f t="shared" si="35"/>
        <v>0.2</v>
      </c>
      <c r="X30" s="2799">
        <f t="shared" si="36"/>
        <v>0.2</v>
      </c>
      <c r="Y30" s="2799">
        <f t="shared" si="37"/>
        <v>0.2</v>
      </c>
      <c r="Z30" s="2803">
        <f t="shared" si="38"/>
        <v>0.2</v>
      </c>
      <c r="AA30" s="2799">
        <f t="shared" si="17"/>
        <v>0.2</v>
      </c>
      <c r="AB30" s="2799">
        <f t="shared" si="10"/>
        <v>0.2</v>
      </c>
      <c r="AC30" s="2800">
        <f t="shared" si="11"/>
        <v>0.2</v>
      </c>
      <c r="AD30" s="2799">
        <f t="shared" si="12"/>
        <v>0.2</v>
      </c>
      <c r="AE30" s="2799">
        <f t="shared" si="18"/>
        <v>0.2</v>
      </c>
      <c r="AG30" s="1937">
        <v>2.2000000000000002</v>
      </c>
      <c r="AH30" s="1941" t="s">
        <v>961</v>
      </c>
      <c r="AI30" s="1938" t="s">
        <v>272</v>
      </c>
      <c r="AJ30" s="1939">
        <v>0.2</v>
      </c>
      <c r="AK30" s="1939">
        <v>0.2</v>
      </c>
      <c r="AL30" s="1939">
        <v>0.2</v>
      </c>
      <c r="AM30" s="1939">
        <v>0.2</v>
      </c>
      <c r="AN30" s="1939">
        <v>0.2</v>
      </c>
      <c r="AO30" s="1939">
        <v>0.2</v>
      </c>
      <c r="AP30" s="1939">
        <v>0.2</v>
      </c>
      <c r="AQ30" s="1955">
        <v>0.2</v>
      </c>
      <c r="AR30" s="1939">
        <v>0.2</v>
      </c>
      <c r="AS30" s="1944">
        <v>0.2</v>
      </c>
      <c r="AT30" s="1945"/>
      <c r="AU30" s="1944"/>
      <c r="AV30" s="1944"/>
      <c r="AX30" s="1937">
        <v>2.2000000000000002</v>
      </c>
      <c r="AY30" s="1941" t="s">
        <v>961</v>
      </c>
      <c r="AZ30" s="1938" t="s">
        <v>272</v>
      </c>
      <c r="BA30" s="1944">
        <v>0.2</v>
      </c>
      <c r="BB30" s="1944">
        <v>0.2</v>
      </c>
      <c r="BC30" s="1944">
        <v>0.2</v>
      </c>
      <c r="BD30" s="1944">
        <v>0.2</v>
      </c>
      <c r="BE30" s="1944">
        <v>0.2</v>
      </c>
      <c r="BF30" s="1944">
        <v>0.2</v>
      </c>
      <c r="BG30" s="1944">
        <v>0.2</v>
      </c>
      <c r="BH30" s="1946">
        <v>0.2</v>
      </c>
      <c r="BI30" s="1944">
        <v>0.2</v>
      </c>
      <c r="BJ30" s="1944">
        <v>0.2</v>
      </c>
      <c r="BK30" s="1945">
        <v>0.2</v>
      </c>
      <c r="BL30" s="1944">
        <v>0.2</v>
      </c>
      <c r="BM30" s="1944">
        <v>0.2</v>
      </c>
      <c r="BO30" s="1937">
        <v>2.2000000000000002</v>
      </c>
      <c r="BP30" s="1941" t="s">
        <v>961</v>
      </c>
      <c r="BQ30" s="1938" t="s">
        <v>272</v>
      </c>
      <c r="BR30" s="1944">
        <v>0.2</v>
      </c>
      <c r="BS30" s="1944">
        <v>0.2</v>
      </c>
      <c r="BT30" s="1944">
        <v>0.2</v>
      </c>
      <c r="BU30" s="1944">
        <v>0.2</v>
      </c>
      <c r="BV30" s="1944">
        <v>0.2</v>
      </c>
      <c r="BW30" s="1944">
        <v>0.2</v>
      </c>
      <c r="BX30" s="1944">
        <v>0.2</v>
      </c>
      <c r="BY30" s="2458">
        <v>0.2</v>
      </c>
      <c r="BZ30" s="1944">
        <v>0.2</v>
      </c>
      <c r="CA30" s="1944">
        <v>0.2</v>
      </c>
      <c r="CB30" s="1945">
        <v>0.2</v>
      </c>
      <c r="CC30" s="1944">
        <v>0.2</v>
      </c>
      <c r="CD30" s="1944">
        <v>0.2</v>
      </c>
      <c r="CE30" s="2272"/>
      <c r="CG30" s="1937">
        <v>2.2000000000000002</v>
      </c>
      <c r="CH30" s="1941" t="s">
        <v>961</v>
      </c>
      <c r="CI30" s="1938" t="s">
        <v>272</v>
      </c>
      <c r="CJ30" s="2706">
        <f t="shared" si="19"/>
        <v>0.2</v>
      </c>
      <c r="CK30" s="2706">
        <f t="shared" si="20"/>
        <v>0.2</v>
      </c>
      <c r="CL30" s="2706">
        <f t="shared" si="21"/>
        <v>0.2</v>
      </c>
      <c r="CM30" s="2706">
        <f t="shared" si="22"/>
        <v>0.2</v>
      </c>
      <c r="CN30" s="2706">
        <f t="shared" si="23"/>
        <v>0.2</v>
      </c>
      <c r="CO30" s="2706">
        <f t="shared" si="24"/>
        <v>0.2</v>
      </c>
      <c r="CP30" s="2706">
        <f t="shared" si="25"/>
        <v>0.2</v>
      </c>
      <c r="CQ30" s="2711">
        <f t="shared" si="26"/>
        <v>0.2</v>
      </c>
      <c r="CR30" s="2706">
        <f t="shared" si="27"/>
        <v>0.2</v>
      </c>
      <c r="CS30" s="2706">
        <f t="shared" si="28"/>
        <v>0.2</v>
      </c>
      <c r="CT30" s="2708">
        <f t="shared" si="13"/>
        <v>0.2</v>
      </c>
      <c r="CU30" s="2706">
        <f t="shared" si="14"/>
        <v>0.2</v>
      </c>
      <c r="CV30" s="2706">
        <f t="shared" si="15"/>
        <v>0.2</v>
      </c>
      <c r="CX30" s="1937">
        <v>2.2000000000000002</v>
      </c>
      <c r="CY30" s="1941" t="s">
        <v>961</v>
      </c>
      <c r="CZ30" s="1938" t="s">
        <v>272</v>
      </c>
      <c r="DA30" s="2695">
        <f t="shared" si="29"/>
        <v>0.2</v>
      </c>
      <c r="DB30" s="2695"/>
      <c r="DC30" s="2695"/>
      <c r="DD30" s="2695"/>
      <c r="DE30" s="2695"/>
      <c r="DF30" s="2695"/>
      <c r="DG30" s="2695"/>
      <c r="DH30" s="2907"/>
      <c r="DI30" s="2695"/>
      <c r="DJ30" s="2695"/>
      <c r="DK30" s="2905"/>
      <c r="DL30" s="2695"/>
      <c r="DM30" s="2695"/>
    </row>
    <row r="31" spans="2:117">
      <c r="B31" s="1916">
        <f t="shared" si="0"/>
        <v>2.2999999999999998</v>
      </c>
      <c r="C31" s="1938" t="str">
        <f t="shared" si="1"/>
        <v>空調方式（新築）</v>
      </c>
      <c r="D31" s="1935" t="e">
        <f t="shared" si="39"/>
        <v>#DIV/0!</v>
      </c>
      <c r="E31" s="1936" t="e">
        <f t="shared" si="39"/>
        <v>#DIV/0!</v>
      </c>
      <c r="G31" s="1936" t="e">
        <f t="shared" si="2"/>
        <v>#DIV/0!</v>
      </c>
      <c r="H31" s="1936" t="e">
        <f t="shared" si="3"/>
        <v>#DIV/0!</v>
      </c>
      <c r="I31" s="1936"/>
      <c r="J31" s="1936"/>
      <c r="K31" s="1936">
        <f>IF(スコア!O31=0,0,1)</f>
        <v>1</v>
      </c>
      <c r="L31" s="1936">
        <f>IF(スコア!R31=0,0,1)</f>
        <v>1</v>
      </c>
      <c r="M31" s="1936" t="e">
        <f t="shared" si="4"/>
        <v>#DIV/0!</v>
      </c>
      <c r="N31" s="1936" t="e">
        <f t="shared" si="5"/>
        <v>#DIV/0!</v>
      </c>
      <c r="P31" s="1937">
        <f t="shared" si="6"/>
        <v>2.2999999999999998</v>
      </c>
      <c r="Q31" s="1937" t="str">
        <f t="shared" si="7"/>
        <v xml:space="preserve"> Q1 2</v>
      </c>
      <c r="R31" s="1938" t="str">
        <f t="shared" si="8"/>
        <v>空調方式（新築）</v>
      </c>
      <c r="S31" s="2799">
        <f t="shared" si="16"/>
        <v>0.3</v>
      </c>
      <c r="T31" s="2799">
        <f t="shared" si="32"/>
        <v>0.3</v>
      </c>
      <c r="U31" s="2799">
        <f t="shared" si="33"/>
        <v>0.3</v>
      </c>
      <c r="V31" s="2799">
        <f t="shared" si="34"/>
        <v>0.3</v>
      </c>
      <c r="W31" s="2799">
        <f t="shared" si="35"/>
        <v>0.3</v>
      </c>
      <c r="X31" s="2799">
        <f t="shared" si="36"/>
        <v>0.3</v>
      </c>
      <c r="Y31" s="2799">
        <f t="shared" si="37"/>
        <v>0.3</v>
      </c>
      <c r="Z31" s="2803">
        <f t="shared" si="38"/>
        <v>0.3</v>
      </c>
      <c r="AA31" s="2799">
        <f t="shared" si="17"/>
        <v>0.3</v>
      </c>
      <c r="AB31" s="2799">
        <f t="shared" si="10"/>
        <v>0.3</v>
      </c>
      <c r="AC31" s="2800">
        <f t="shared" si="11"/>
        <v>0.3</v>
      </c>
      <c r="AD31" s="2799">
        <f t="shared" si="12"/>
        <v>0.3</v>
      </c>
      <c r="AE31" s="2799">
        <f t="shared" si="18"/>
        <v>0.3</v>
      </c>
      <c r="AG31" s="1937">
        <v>2.2999999999999998</v>
      </c>
      <c r="AH31" s="1941" t="s">
        <v>961</v>
      </c>
      <c r="AI31" s="1938"/>
      <c r="AJ31" s="1939"/>
      <c r="AK31" s="1939"/>
      <c r="AL31" s="1939"/>
      <c r="AM31" s="1939"/>
      <c r="AN31" s="1939"/>
      <c r="AO31" s="1939"/>
      <c r="AP31" s="1939"/>
      <c r="AQ31" s="1955"/>
      <c r="AR31" s="1939"/>
      <c r="AS31" s="1958"/>
      <c r="AT31" s="1945"/>
      <c r="AU31" s="1944"/>
      <c r="AV31" s="1944"/>
      <c r="AX31" s="1937">
        <v>2.2999999999999998</v>
      </c>
      <c r="AY31" s="1941" t="s">
        <v>961</v>
      </c>
      <c r="AZ31" s="1938" t="s">
        <v>273</v>
      </c>
      <c r="BA31" s="1944">
        <v>0.3</v>
      </c>
      <c r="BB31" s="1944">
        <v>0.3</v>
      </c>
      <c r="BC31" s="1944">
        <v>0.3</v>
      </c>
      <c r="BD31" s="1944">
        <v>0.3</v>
      </c>
      <c r="BE31" s="1944">
        <v>0.3</v>
      </c>
      <c r="BF31" s="1944">
        <v>0.3</v>
      </c>
      <c r="BG31" s="1944">
        <v>0.3</v>
      </c>
      <c r="BH31" s="1946">
        <v>0.3</v>
      </c>
      <c r="BI31" s="1944">
        <v>0.3</v>
      </c>
      <c r="BJ31" s="1944">
        <v>0.3</v>
      </c>
      <c r="BK31" s="1945">
        <v>0.3</v>
      </c>
      <c r="BL31" s="1944">
        <v>0.3</v>
      </c>
      <c r="BM31" s="1944">
        <v>0.3</v>
      </c>
      <c r="BO31" s="1937">
        <v>2.2999999999999998</v>
      </c>
      <c r="BP31" s="1941" t="s">
        <v>961</v>
      </c>
      <c r="BQ31" s="1938" t="s">
        <v>3486</v>
      </c>
      <c r="BR31" s="1944">
        <v>0.3</v>
      </c>
      <c r="BS31" s="1944">
        <v>0.3</v>
      </c>
      <c r="BT31" s="1944">
        <v>0.3</v>
      </c>
      <c r="BU31" s="1944">
        <v>0.3</v>
      </c>
      <c r="BV31" s="1944">
        <v>0.3</v>
      </c>
      <c r="BW31" s="1944">
        <v>0.3</v>
      </c>
      <c r="BX31" s="1944">
        <v>0.3</v>
      </c>
      <c r="BY31" s="2458">
        <v>0.3</v>
      </c>
      <c r="BZ31" s="1944">
        <v>0.3</v>
      </c>
      <c r="CA31" s="1944">
        <v>0.3</v>
      </c>
      <c r="CB31" s="1945">
        <v>0.3</v>
      </c>
      <c r="CC31" s="1944">
        <v>0.3</v>
      </c>
      <c r="CD31" s="1944">
        <v>0.3</v>
      </c>
      <c r="CE31" s="2272"/>
      <c r="CG31" s="1937">
        <v>2.2999999999999998</v>
      </c>
      <c r="CH31" s="1941" t="s">
        <v>961</v>
      </c>
      <c r="CI31" s="1938" t="s">
        <v>273</v>
      </c>
      <c r="CJ31" s="2706">
        <f t="shared" si="19"/>
        <v>0.3</v>
      </c>
      <c r="CK31" s="2706">
        <f t="shared" si="20"/>
        <v>0.3</v>
      </c>
      <c r="CL31" s="2706">
        <f t="shared" si="21"/>
        <v>0.3</v>
      </c>
      <c r="CM31" s="2706">
        <f t="shared" si="22"/>
        <v>0.3</v>
      </c>
      <c r="CN31" s="2706">
        <f t="shared" si="23"/>
        <v>0.3</v>
      </c>
      <c r="CO31" s="2706">
        <f t="shared" si="24"/>
        <v>0.3</v>
      </c>
      <c r="CP31" s="2706">
        <f t="shared" si="25"/>
        <v>0.3</v>
      </c>
      <c r="CQ31" s="2711">
        <f t="shared" si="26"/>
        <v>0.3</v>
      </c>
      <c r="CR31" s="2706">
        <f t="shared" si="27"/>
        <v>0.3</v>
      </c>
      <c r="CS31" s="2706">
        <f t="shared" si="28"/>
        <v>0.3</v>
      </c>
      <c r="CT31" s="2708">
        <f t="shared" si="13"/>
        <v>0.3</v>
      </c>
      <c r="CU31" s="2706">
        <f t="shared" si="14"/>
        <v>0.3</v>
      </c>
      <c r="CV31" s="2706">
        <f t="shared" si="15"/>
        <v>0.3</v>
      </c>
      <c r="CX31" s="1937">
        <v>2.2999999999999998</v>
      </c>
      <c r="CY31" s="1941" t="s">
        <v>961</v>
      </c>
      <c r="CZ31" s="1938" t="s">
        <v>273</v>
      </c>
      <c r="DA31" s="2695">
        <f t="shared" si="29"/>
        <v>0.3</v>
      </c>
      <c r="DB31" s="2695"/>
      <c r="DC31" s="2695"/>
      <c r="DD31" s="2695"/>
      <c r="DE31" s="2695"/>
      <c r="DF31" s="2695"/>
      <c r="DG31" s="2695"/>
      <c r="DH31" s="2907"/>
      <c r="DI31" s="2695"/>
      <c r="DJ31" s="2695"/>
      <c r="DK31" s="2905"/>
      <c r="DL31" s="2695"/>
      <c r="DM31" s="2695"/>
    </row>
    <row r="32" spans="2:117" s="2687" customFormat="1" hidden="1">
      <c r="B32" s="1916">
        <f t="shared" ref="B32" si="40">P32</f>
        <v>2.2999999999999998</v>
      </c>
      <c r="C32" s="1938">
        <f t="shared" si="1"/>
        <v>0</v>
      </c>
      <c r="D32" s="1935" t="e">
        <f t="shared" si="39"/>
        <v>#DIV/0!</v>
      </c>
      <c r="E32" s="1936" t="e">
        <f t="shared" si="39"/>
        <v>#DIV/0!</v>
      </c>
      <c r="G32" s="1936" t="e">
        <f t="shared" ref="G32" si="41">K32*M32</f>
        <v>#DIV/0!</v>
      </c>
      <c r="H32" s="1936" t="e">
        <f t="shared" ref="H32" si="42">L32*N32</f>
        <v>#DIV/0!</v>
      </c>
      <c r="I32" s="1936" t="e">
        <f>SUM(G33:G34)</f>
        <v>#DIV/0!</v>
      </c>
      <c r="J32" s="1936" t="e">
        <f>SUM(H33:H34)</f>
        <v>#DIV/0!</v>
      </c>
      <c r="K32" s="1936" t="e">
        <f>IF(スコア!O32=0,0,1)</f>
        <v>#DIV/0!</v>
      </c>
      <c r="L32" s="1936" t="e">
        <f>IF(スコア!R32=0,0,1)</f>
        <v>#DIV/0!</v>
      </c>
      <c r="M32" s="1936" t="e">
        <f t="shared" ref="M32" si="43">SUMPRODUCT($S$7:$AB$7,S32:AB32)</f>
        <v>#DIV/0!</v>
      </c>
      <c r="N32" s="1936" t="e">
        <f t="shared" ref="N32" si="44">(AC$7*AC32)+(AD$7*AD32)+(AE$7*AE32)</f>
        <v>#DIV/0!</v>
      </c>
      <c r="P32" s="1937">
        <f t="shared" ref="P32" si="45">IF($P$3=1,AX32,IF($P$3=2,BO32,IF($P$3=3,CG32,IF($P$3=4,CX32,AG32))))</f>
        <v>2.2999999999999998</v>
      </c>
      <c r="Q32" s="1937" t="str">
        <f t="shared" ref="Q32" si="46">IF($P$3=1,AY32,IF($P$3=2,BP32,IF($P$3=3,CH32,IF($P$3=4,CY32,AH32))))</f>
        <v xml:space="preserve"> Q1 2</v>
      </c>
      <c r="R32" s="1938">
        <f t="shared" ref="R32" si="47">IF($P$3=1,AZ32,IF($P$3=2,BQ32,IF($P$3=3,CI32,IF($P$3=4,CZ32,AI32))))</f>
        <v>0</v>
      </c>
      <c r="S32" s="2799">
        <f t="shared" ref="S32" si="48">IF($P$3=1,BA32,IF($P$3=2,BR32,IF($P$3=3,CJ32,IF($P$3=4,DA32,AJ32))))</f>
        <v>0</v>
      </c>
      <c r="T32" s="2799">
        <f t="shared" ref="T32" si="49">IF($P$3=1,BB32,IF($P$3=2,BS32,IF($P$3=3,CK32,IF($P$3=4,DB32,AK32))))</f>
        <v>0</v>
      </c>
      <c r="U32" s="2799">
        <f t="shared" ref="U32" si="50">IF($P$3=1,BC32,IF($P$3=2,BT32,IF($P$3=3,CL32,IF($P$3=4,DC32,AL32))))</f>
        <v>0</v>
      </c>
      <c r="V32" s="2799">
        <f t="shared" ref="V32" si="51">IF($P$3=1,BD32,IF($P$3=2,BU32,IF($P$3=3,CM32,IF($P$3=4,DD32,AM32))))</f>
        <v>0</v>
      </c>
      <c r="W32" s="2799">
        <f t="shared" ref="W32" si="52">IF($P$3=1,BE32,IF($P$3=2,BV32,IF($P$3=3,CN32,IF($P$3=4,DE32,AN32))))</f>
        <v>0</v>
      </c>
      <c r="X32" s="2799">
        <f t="shared" ref="X32" si="53">IF($P$3=1,BF32,IF($P$3=2,BW32,IF($P$3=3,CO32,IF($P$3=4,DF32,AO32))))</f>
        <v>0</v>
      </c>
      <c r="Y32" s="2799">
        <f t="shared" ref="Y32" si="54">IF($P$3=1,BG32,IF($P$3=2,BX32,IF($P$3=3,CP32,IF($P$3=4,DG32,AP32))))</f>
        <v>0</v>
      </c>
      <c r="Z32" s="2803">
        <f t="shared" ref="Z32" si="55">IF($P$3=1,BH32,IF($P$3=2,BY32,IF($P$3=3,CQ32,IF($P$3=4,DH32,AQ32))))</f>
        <v>0</v>
      </c>
      <c r="AA32" s="2799">
        <f t="shared" ref="AA32" si="56">IF($P$3=1,BI32,IF($P$3=2,BZ32,IF($P$3=3,CR32,IF($P$3=4,DI32,AR32))))</f>
        <v>0</v>
      </c>
      <c r="AB32" s="2799">
        <f t="shared" ref="AB32" si="57">IF($P$3=1,BJ32,IF($P$3=2,CA32,IF($P$3=3,CS32,IF($P$3=4,DJ32,AS32))))</f>
        <v>0</v>
      </c>
      <c r="AC32" s="2800">
        <f t="shared" ref="AC32" si="58">IF($P$3=1,BK32,IF($P$3=2,CB32,IF($P$3=3,CT32,IF($P$3=4,DK32,AT32))))</f>
        <v>0</v>
      </c>
      <c r="AD32" s="2799">
        <f t="shared" ref="AD32" si="59">IF($P$3=1,BL32,IF($P$3=2,CC32,IF($P$3=3,CU32,IF($P$3=4,DL32,AU32))))</f>
        <v>0</v>
      </c>
      <c r="AE32" s="2799">
        <f t="shared" ref="AE32" si="60">IF($P$3=1,BM32,IF($P$3=2,CD32,IF($P$3=3,CV32,IF($P$3=4,DM32,AV32))))</f>
        <v>0</v>
      </c>
      <c r="AG32" s="1937">
        <v>2.2999999999999998</v>
      </c>
      <c r="AH32" s="1941" t="s">
        <v>961</v>
      </c>
      <c r="AI32" s="1938" t="s">
        <v>3487</v>
      </c>
      <c r="AJ32" s="1939">
        <v>0.3</v>
      </c>
      <c r="AK32" s="1939">
        <v>0.3</v>
      </c>
      <c r="AL32" s="1939">
        <v>0.3</v>
      </c>
      <c r="AM32" s="1939">
        <v>0.3</v>
      </c>
      <c r="AN32" s="1939">
        <v>0.3</v>
      </c>
      <c r="AO32" s="1939">
        <v>0.3</v>
      </c>
      <c r="AP32" s="1939">
        <v>0.3</v>
      </c>
      <c r="AQ32" s="1955">
        <v>0.3</v>
      </c>
      <c r="AR32" s="1939">
        <v>0.3</v>
      </c>
      <c r="AS32" s="1958">
        <v>0.3</v>
      </c>
      <c r="AT32" s="1945"/>
      <c r="AU32" s="1944"/>
      <c r="AV32" s="1944"/>
      <c r="AX32" s="1937">
        <v>2.2999999999999998</v>
      </c>
      <c r="AY32" s="1941" t="s">
        <v>961</v>
      </c>
      <c r="AZ32" s="1938" t="s">
        <v>273</v>
      </c>
      <c r="BA32" s="1944">
        <v>0.3</v>
      </c>
      <c r="BB32" s="1944">
        <v>0.3</v>
      </c>
      <c r="BC32" s="1944">
        <v>0.3</v>
      </c>
      <c r="BD32" s="1944">
        <v>0.3</v>
      </c>
      <c r="BE32" s="1944">
        <v>0.3</v>
      </c>
      <c r="BF32" s="1944">
        <v>0.3</v>
      </c>
      <c r="BG32" s="1944">
        <v>0.3</v>
      </c>
      <c r="BH32" s="1946">
        <v>0.3</v>
      </c>
      <c r="BI32" s="1944">
        <v>0.3</v>
      </c>
      <c r="BJ32" s="1944">
        <v>0.3</v>
      </c>
      <c r="BK32" s="1945">
        <v>0.3</v>
      </c>
      <c r="BL32" s="1944">
        <v>0.3</v>
      </c>
      <c r="BM32" s="1944">
        <v>0.3</v>
      </c>
      <c r="BO32" s="1937">
        <v>2.2999999999999998</v>
      </c>
      <c r="BP32" s="1941" t="s">
        <v>961</v>
      </c>
      <c r="BQ32" s="1938"/>
      <c r="BR32" s="1944"/>
      <c r="BS32" s="1944"/>
      <c r="BT32" s="1944"/>
      <c r="BU32" s="1944"/>
      <c r="BV32" s="1944"/>
      <c r="BW32" s="1944"/>
      <c r="BX32" s="1944"/>
      <c r="BY32" s="2458"/>
      <c r="BZ32" s="1944"/>
      <c r="CA32" s="1944"/>
      <c r="CB32" s="1945"/>
      <c r="CC32" s="1944"/>
      <c r="CD32" s="1944"/>
      <c r="CE32" s="2272"/>
      <c r="CG32" s="1937">
        <v>2.2999999999999998</v>
      </c>
      <c r="CH32" s="1941" t="s">
        <v>961</v>
      </c>
      <c r="CI32" s="1938"/>
      <c r="CJ32" s="2706"/>
      <c r="CK32" s="2706"/>
      <c r="CL32" s="2706"/>
      <c r="CM32" s="2706"/>
      <c r="CN32" s="2706"/>
      <c r="CO32" s="2706"/>
      <c r="CP32" s="2706"/>
      <c r="CQ32" s="2711"/>
      <c r="CR32" s="2706"/>
      <c r="CS32" s="2706"/>
      <c r="CT32" s="2708"/>
      <c r="CU32" s="2706"/>
      <c r="CV32" s="2706"/>
      <c r="CX32" s="1937">
        <v>2.2999999999999998</v>
      </c>
      <c r="CY32" s="1941" t="s">
        <v>961</v>
      </c>
      <c r="CZ32" s="1938"/>
      <c r="DA32" s="2695">
        <f t="shared" ref="DA32" si="61">BR32</f>
        <v>0</v>
      </c>
      <c r="DB32" s="2695"/>
      <c r="DC32" s="2695"/>
      <c r="DD32" s="2695"/>
      <c r="DE32" s="2695"/>
      <c r="DF32" s="2695"/>
      <c r="DG32" s="2695"/>
      <c r="DH32" s="2907"/>
      <c r="DI32" s="2695"/>
      <c r="DJ32" s="2695"/>
      <c r="DK32" s="2905"/>
      <c r="DL32" s="2695"/>
      <c r="DM32" s="2695"/>
    </row>
    <row r="33" spans="2:117" s="2393" customFormat="1" hidden="1">
      <c r="B33" s="1916" t="str">
        <f t="shared" si="0"/>
        <v>2.3.1</v>
      </c>
      <c r="C33" s="1938">
        <f t="shared" si="1"/>
        <v>0</v>
      </c>
      <c r="D33" s="1926" t="e">
        <f>IF(I$32&gt;0,G33/I$32,0)</f>
        <v>#DIV/0!</v>
      </c>
      <c r="E33" s="1926" t="e">
        <f>IF(J$32&gt;0,H33/J$32,0)</f>
        <v>#DIV/0!</v>
      </c>
      <c r="G33" s="1936" t="e">
        <f t="shared" si="2"/>
        <v>#DIV/0!</v>
      </c>
      <c r="H33" s="1936" t="e">
        <f t="shared" si="3"/>
        <v>#DIV/0!</v>
      </c>
      <c r="I33" s="1936"/>
      <c r="J33" s="1936"/>
      <c r="K33" s="1936">
        <f>IF(スコア!O33=0,0,1)</f>
        <v>0</v>
      </c>
      <c r="L33" s="1936">
        <f>IF(スコア!R33=0,0,1)</f>
        <v>0</v>
      </c>
      <c r="M33" s="1936" t="e">
        <f t="shared" si="4"/>
        <v>#DIV/0!</v>
      </c>
      <c r="N33" s="1936" t="e">
        <f t="shared" si="5"/>
        <v>#DIV/0!</v>
      </c>
      <c r="P33" s="1937" t="str">
        <f t="shared" si="6"/>
        <v>2.3.1</v>
      </c>
      <c r="Q33" s="1937" t="str">
        <f t="shared" si="7"/>
        <v xml:space="preserve"> Q1 2.3</v>
      </c>
      <c r="R33" s="1938">
        <f t="shared" si="8"/>
        <v>0</v>
      </c>
      <c r="S33" s="2799">
        <f t="shared" si="16"/>
        <v>0</v>
      </c>
      <c r="T33" s="2799">
        <f t="shared" si="32"/>
        <v>0</v>
      </c>
      <c r="U33" s="2799">
        <f t="shared" si="33"/>
        <v>0</v>
      </c>
      <c r="V33" s="2799">
        <f t="shared" si="34"/>
        <v>0</v>
      </c>
      <c r="W33" s="2799">
        <f t="shared" si="35"/>
        <v>0</v>
      </c>
      <c r="X33" s="2799">
        <f t="shared" si="36"/>
        <v>0</v>
      </c>
      <c r="Y33" s="2799">
        <f t="shared" si="37"/>
        <v>0</v>
      </c>
      <c r="Z33" s="2801">
        <f t="shared" si="38"/>
        <v>0</v>
      </c>
      <c r="AA33" s="2799">
        <f t="shared" si="17"/>
        <v>0</v>
      </c>
      <c r="AB33" s="2799">
        <f t="shared" si="10"/>
        <v>0</v>
      </c>
      <c r="AC33" s="2800">
        <f t="shared" si="11"/>
        <v>0</v>
      </c>
      <c r="AD33" s="2799">
        <f t="shared" si="12"/>
        <v>0</v>
      </c>
      <c r="AE33" s="2799">
        <f t="shared" si="18"/>
        <v>0</v>
      </c>
      <c r="AG33" s="1937" t="s">
        <v>266</v>
      </c>
      <c r="AH33" s="1941" t="s">
        <v>2533</v>
      </c>
      <c r="AI33" s="1938" t="s">
        <v>274</v>
      </c>
      <c r="AJ33" s="1939">
        <v>0.5</v>
      </c>
      <c r="AK33" s="1939">
        <v>0.5</v>
      </c>
      <c r="AL33" s="1939">
        <v>0.5</v>
      </c>
      <c r="AM33" s="1939">
        <v>0.5</v>
      </c>
      <c r="AN33" s="1939">
        <v>0.5</v>
      </c>
      <c r="AO33" s="1939">
        <v>0.5</v>
      </c>
      <c r="AP33" s="1939">
        <v>0.5</v>
      </c>
      <c r="AQ33" s="1955">
        <v>0.5</v>
      </c>
      <c r="AR33" s="1939">
        <v>0.5</v>
      </c>
      <c r="AS33" s="1958">
        <v>0.5</v>
      </c>
      <c r="AT33" s="1945"/>
      <c r="AU33" s="1945"/>
      <c r="AV33" s="1945"/>
      <c r="AX33" s="1937" t="s">
        <v>267</v>
      </c>
      <c r="AY33" s="1941" t="s">
        <v>2533</v>
      </c>
      <c r="AZ33" s="1942" t="s">
        <v>274</v>
      </c>
      <c r="BA33" s="1944"/>
      <c r="BB33" s="1944"/>
      <c r="BC33" s="1944"/>
      <c r="BD33" s="1944"/>
      <c r="BE33" s="1944"/>
      <c r="BF33" s="1944"/>
      <c r="BG33" s="1944"/>
      <c r="BH33" s="1951"/>
      <c r="BI33" s="1944"/>
      <c r="BJ33" s="1944"/>
      <c r="BK33" s="1945"/>
      <c r="BL33" s="1944"/>
      <c r="BM33" s="1944"/>
      <c r="BO33" s="1937" t="s">
        <v>267</v>
      </c>
      <c r="BP33" s="1941" t="s">
        <v>2533</v>
      </c>
      <c r="BQ33" s="1942"/>
      <c r="BR33" s="1974"/>
      <c r="BS33" s="1974"/>
      <c r="BT33" s="1974"/>
      <c r="BU33" s="1974"/>
      <c r="BV33" s="1974"/>
      <c r="BW33" s="1974"/>
      <c r="BX33" s="1974"/>
      <c r="BY33" s="2463">
        <v>0</v>
      </c>
      <c r="BZ33" s="1974"/>
      <c r="CA33" s="1974"/>
      <c r="CB33" s="1976"/>
      <c r="CC33" s="1974"/>
      <c r="CD33" s="1974"/>
      <c r="CE33" s="2981"/>
      <c r="CG33" s="1937" t="s">
        <v>266</v>
      </c>
      <c r="CH33" s="1941" t="s">
        <v>2533</v>
      </c>
      <c r="CI33" s="1942"/>
      <c r="CJ33" s="2706"/>
      <c r="CK33" s="2706"/>
      <c r="CL33" s="2706"/>
      <c r="CM33" s="2706"/>
      <c r="CN33" s="2706"/>
      <c r="CO33" s="2706"/>
      <c r="CP33" s="2706"/>
      <c r="CQ33" s="2709"/>
      <c r="CR33" s="2706"/>
      <c r="CS33" s="2706"/>
      <c r="CT33" s="2708"/>
      <c r="CU33" s="2706"/>
      <c r="CV33" s="2706"/>
      <c r="CX33" s="1937" t="s">
        <v>266</v>
      </c>
      <c r="CY33" s="1941" t="s">
        <v>2533</v>
      </c>
      <c r="CZ33" s="1942"/>
      <c r="DA33" s="2695">
        <f t="shared" si="29"/>
        <v>0</v>
      </c>
      <c r="DB33" s="2695"/>
      <c r="DC33" s="2695"/>
      <c r="DD33" s="2695"/>
      <c r="DE33" s="2695"/>
      <c r="DF33" s="2695"/>
      <c r="DG33" s="2695"/>
      <c r="DH33" s="2912"/>
      <c r="DI33" s="2695"/>
      <c r="DJ33" s="2695"/>
      <c r="DK33" s="2905"/>
      <c r="DL33" s="2695"/>
      <c r="DM33" s="2695"/>
    </row>
    <row r="34" spans="2:117" s="2393" customFormat="1" hidden="1">
      <c r="B34" s="1916" t="str">
        <f t="shared" si="0"/>
        <v>2.3.2</v>
      </c>
      <c r="C34" s="1938">
        <f t="shared" si="1"/>
        <v>0</v>
      </c>
      <c r="D34" s="1926" t="e">
        <f>IF(I$32&gt;0,G34/I$32,0)</f>
        <v>#DIV/0!</v>
      </c>
      <c r="E34" s="1926" t="e">
        <f>IF(J$32&gt;0,H34/J$32,0)</f>
        <v>#DIV/0!</v>
      </c>
      <c r="G34" s="1936" t="e">
        <f t="shared" si="2"/>
        <v>#DIV/0!</v>
      </c>
      <c r="H34" s="1936" t="e">
        <f t="shared" si="3"/>
        <v>#DIV/0!</v>
      </c>
      <c r="I34" s="1936"/>
      <c r="J34" s="1936"/>
      <c r="K34" s="1936">
        <f>IF(スコア!O34=0,0,1)</f>
        <v>0</v>
      </c>
      <c r="L34" s="1936">
        <f>IF(スコア!R34=0,0,1)</f>
        <v>0</v>
      </c>
      <c r="M34" s="1936" t="e">
        <f t="shared" si="4"/>
        <v>#DIV/0!</v>
      </c>
      <c r="N34" s="1936" t="e">
        <f t="shared" si="5"/>
        <v>#DIV/0!</v>
      </c>
      <c r="P34" s="1937" t="str">
        <f t="shared" si="6"/>
        <v>2.3.2</v>
      </c>
      <c r="Q34" s="1937" t="str">
        <f t="shared" si="7"/>
        <v xml:space="preserve"> Q1 2.3</v>
      </c>
      <c r="R34" s="1938">
        <f t="shared" si="8"/>
        <v>0</v>
      </c>
      <c r="S34" s="2799">
        <f t="shared" si="16"/>
        <v>0</v>
      </c>
      <c r="T34" s="2799">
        <f t="shared" si="32"/>
        <v>0</v>
      </c>
      <c r="U34" s="2799">
        <f t="shared" si="33"/>
        <v>0</v>
      </c>
      <c r="V34" s="2799">
        <f t="shared" si="34"/>
        <v>0</v>
      </c>
      <c r="W34" s="2799">
        <f t="shared" si="35"/>
        <v>0</v>
      </c>
      <c r="X34" s="2799">
        <f t="shared" si="36"/>
        <v>0</v>
      </c>
      <c r="Y34" s="2799">
        <f t="shared" si="37"/>
        <v>0</v>
      </c>
      <c r="Z34" s="2801">
        <f t="shared" si="38"/>
        <v>0</v>
      </c>
      <c r="AA34" s="2799">
        <f t="shared" si="17"/>
        <v>0</v>
      </c>
      <c r="AB34" s="2799">
        <f t="shared" si="10"/>
        <v>0</v>
      </c>
      <c r="AC34" s="2800">
        <f t="shared" si="11"/>
        <v>0</v>
      </c>
      <c r="AD34" s="2799">
        <f t="shared" si="12"/>
        <v>0</v>
      </c>
      <c r="AE34" s="2799">
        <f t="shared" si="18"/>
        <v>0</v>
      </c>
      <c r="AG34" s="1937" t="s">
        <v>268</v>
      </c>
      <c r="AH34" s="1941" t="s">
        <v>2533</v>
      </c>
      <c r="AI34" s="1938" t="s">
        <v>1845</v>
      </c>
      <c r="AJ34" s="1939">
        <v>0.5</v>
      </c>
      <c r="AK34" s="1939">
        <v>0.5</v>
      </c>
      <c r="AL34" s="1939">
        <v>0.5</v>
      </c>
      <c r="AM34" s="1939">
        <v>0.5</v>
      </c>
      <c r="AN34" s="1939">
        <v>0.5</v>
      </c>
      <c r="AO34" s="1939">
        <v>0.5</v>
      </c>
      <c r="AP34" s="1939">
        <v>0.5</v>
      </c>
      <c r="AQ34" s="1939">
        <v>0.5</v>
      </c>
      <c r="AR34" s="1939">
        <v>0.5</v>
      </c>
      <c r="AS34" s="1958">
        <v>0.5</v>
      </c>
      <c r="AT34" s="1945"/>
      <c r="AU34" s="1945"/>
      <c r="AV34" s="1945"/>
      <c r="AX34" s="1937" t="s">
        <v>269</v>
      </c>
      <c r="AY34" s="1941" t="s">
        <v>2533</v>
      </c>
      <c r="AZ34" s="1942" t="s">
        <v>1845</v>
      </c>
      <c r="BA34" s="1944"/>
      <c r="BB34" s="1944"/>
      <c r="BC34" s="1944"/>
      <c r="BD34" s="1944"/>
      <c r="BE34" s="1944"/>
      <c r="BF34" s="1944"/>
      <c r="BG34" s="1944"/>
      <c r="BH34" s="1951"/>
      <c r="BI34" s="1944"/>
      <c r="BJ34" s="1944"/>
      <c r="BK34" s="1945"/>
      <c r="BL34" s="1944"/>
      <c r="BM34" s="1944"/>
      <c r="BO34" s="1937" t="s">
        <v>269</v>
      </c>
      <c r="BP34" s="1941" t="s">
        <v>2533</v>
      </c>
      <c r="BQ34" s="1942"/>
      <c r="BR34" s="1974"/>
      <c r="BS34" s="1974"/>
      <c r="BT34" s="1974"/>
      <c r="BU34" s="1974"/>
      <c r="BV34" s="1974"/>
      <c r="BW34" s="1974"/>
      <c r="BX34" s="1974"/>
      <c r="BY34" s="2463">
        <v>0</v>
      </c>
      <c r="BZ34" s="1974"/>
      <c r="CA34" s="1974"/>
      <c r="CB34" s="1976"/>
      <c r="CC34" s="1974"/>
      <c r="CD34" s="1974"/>
      <c r="CE34" s="2981"/>
      <c r="CG34" s="1937" t="s">
        <v>268</v>
      </c>
      <c r="CH34" s="1941" t="s">
        <v>2533</v>
      </c>
      <c r="CI34" s="1942"/>
      <c r="CJ34" s="2706"/>
      <c r="CK34" s="2706"/>
      <c r="CL34" s="2706"/>
      <c r="CM34" s="2706"/>
      <c r="CN34" s="2706"/>
      <c r="CO34" s="2706"/>
      <c r="CP34" s="2706"/>
      <c r="CQ34" s="2709"/>
      <c r="CR34" s="2706"/>
      <c r="CS34" s="2706"/>
      <c r="CT34" s="2708"/>
      <c r="CU34" s="2706"/>
      <c r="CV34" s="2706"/>
      <c r="CX34" s="1937" t="s">
        <v>268</v>
      </c>
      <c r="CY34" s="1941" t="s">
        <v>2533</v>
      </c>
      <c r="CZ34" s="1942"/>
      <c r="DA34" s="2695">
        <f t="shared" si="29"/>
        <v>0</v>
      </c>
      <c r="DB34" s="2695"/>
      <c r="DC34" s="2695"/>
      <c r="DD34" s="2695"/>
      <c r="DE34" s="2695"/>
      <c r="DF34" s="2695"/>
      <c r="DG34" s="2695"/>
      <c r="DH34" s="2912"/>
      <c r="DI34" s="2695"/>
      <c r="DJ34" s="2695"/>
      <c r="DK34" s="2905"/>
      <c r="DL34" s="2695"/>
      <c r="DM34" s="2695"/>
    </row>
    <row r="35" spans="2:117">
      <c r="B35" s="1916">
        <f t="shared" si="0"/>
        <v>3</v>
      </c>
      <c r="C35" s="1928" t="str">
        <f t="shared" si="1"/>
        <v>光・視環境</v>
      </c>
      <c r="D35" s="1924" t="e">
        <f>IF(I$9=0,0,G35/I$9)</f>
        <v>#DIV/0!</v>
      </c>
      <c r="E35" s="1925" t="e">
        <f>IF(J$9=0,0,H35/J$9)</f>
        <v>#DIV/0!</v>
      </c>
      <c r="G35" s="1925" t="e">
        <f t="shared" si="2"/>
        <v>#DIV/0!</v>
      </c>
      <c r="H35" s="1925" t="e">
        <f t="shared" si="3"/>
        <v>#DIV/0!</v>
      </c>
      <c r="I35" s="1925" t="e">
        <f>G36+G40+G44+G47</f>
        <v>#DIV/0!</v>
      </c>
      <c r="J35" s="1925" t="e">
        <f>H36+H40+H44+H47</f>
        <v>#DIV/0!</v>
      </c>
      <c r="K35" s="1925" t="e">
        <f>IF(L35&gt;0,1,IF(スコア!O35=0,0,1))</f>
        <v>#DIV/0!</v>
      </c>
      <c r="L35" s="1925" t="e">
        <f>IF(スコア!R35=0,0,1)</f>
        <v>#DIV/0!</v>
      </c>
      <c r="M35" s="1925" t="e">
        <f t="shared" si="4"/>
        <v>#DIV/0!</v>
      </c>
      <c r="N35" s="1925" t="e">
        <f t="shared" si="5"/>
        <v>#DIV/0!</v>
      </c>
      <c r="P35" s="1927">
        <f t="shared" si="6"/>
        <v>3</v>
      </c>
      <c r="Q35" s="1927" t="str">
        <f t="shared" si="7"/>
        <v xml:space="preserve"> Q1</v>
      </c>
      <c r="R35" s="1928" t="str">
        <f t="shared" si="8"/>
        <v>光・視環境</v>
      </c>
      <c r="S35" s="2796">
        <f t="shared" si="16"/>
        <v>0.25</v>
      </c>
      <c r="T35" s="2796">
        <f t="shared" si="32"/>
        <v>0.25</v>
      </c>
      <c r="U35" s="2796">
        <f t="shared" si="33"/>
        <v>0.25</v>
      </c>
      <c r="V35" s="2796">
        <f t="shared" si="34"/>
        <v>0.25</v>
      </c>
      <c r="W35" s="2796">
        <f t="shared" si="35"/>
        <v>0.25</v>
      </c>
      <c r="X35" s="2796">
        <f t="shared" si="36"/>
        <v>0.25</v>
      </c>
      <c r="Y35" s="2796">
        <f t="shared" si="37"/>
        <v>0.25</v>
      </c>
      <c r="Z35" s="2802">
        <f t="shared" si="38"/>
        <v>0.25</v>
      </c>
      <c r="AA35" s="2796">
        <f t="shared" si="17"/>
        <v>0.25</v>
      </c>
      <c r="AB35" s="2796">
        <f t="shared" si="10"/>
        <v>0.25</v>
      </c>
      <c r="AC35" s="2798">
        <f t="shared" si="11"/>
        <v>0</v>
      </c>
      <c r="AD35" s="2796">
        <f t="shared" si="12"/>
        <v>0</v>
      </c>
      <c r="AE35" s="2796">
        <f t="shared" si="18"/>
        <v>0</v>
      </c>
      <c r="AG35" s="1927">
        <v>3</v>
      </c>
      <c r="AH35" s="1931" t="s">
        <v>953</v>
      </c>
      <c r="AI35" s="1928" t="s">
        <v>948</v>
      </c>
      <c r="AJ35" s="1929">
        <v>0.25</v>
      </c>
      <c r="AK35" s="1929">
        <v>0.25</v>
      </c>
      <c r="AL35" s="1929">
        <v>0.25</v>
      </c>
      <c r="AM35" s="1929">
        <v>0.25</v>
      </c>
      <c r="AN35" s="1929">
        <v>0.25</v>
      </c>
      <c r="AO35" s="1929">
        <v>0.25</v>
      </c>
      <c r="AP35" s="1929">
        <v>0.25</v>
      </c>
      <c r="AQ35" s="1952">
        <v>0</v>
      </c>
      <c r="AR35" s="1929">
        <v>0.25</v>
      </c>
      <c r="AS35" s="1932">
        <v>0.25</v>
      </c>
      <c r="AT35" s="1933"/>
      <c r="AU35" s="1932"/>
      <c r="AV35" s="1932"/>
      <c r="AX35" s="1927">
        <v>3</v>
      </c>
      <c r="AY35" s="1931" t="s">
        <v>953</v>
      </c>
      <c r="AZ35" s="1928" t="s">
        <v>948</v>
      </c>
      <c r="BA35" s="1932">
        <v>0.25</v>
      </c>
      <c r="BB35" s="1932">
        <v>0.25</v>
      </c>
      <c r="BC35" s="1932">
        <v>0.25</v>
      </c>
      <c r="BD35" s="1932">
        <v>0.25</v>
      </c>
      <c r="BE35" s="1932">
        <v>0.25</v>
      </c>
      <c r="BF35" s="1932">
        <v>0.25</v>
      </c>
      <c r="BG35" s="1932">
        <v>0.25</v>
      </c>
      <c r="BH35" s="1954"/>
      <c r="BI35" s="1932">
        <v>0.25</v>
      </c>
      <c r="BJ35" s="1932">
        <v>0.25</v>
      </c>
      <c r="BK35" s="1933"/>
      <c r="BL35" s="1932"/>
      <c r="BM35" s="1932"/>
      <c r="BO35" s="1927">
        <v>3</v>
      </c>
      <c r="BP35" s="1931" t="s">
        <v>953</v>
      </c>
      <c r="BQ35" s="1928" t="s">
        <v>948</v>
      </c>
      <c r="BR35" s="1932">
        <v>0.25</v>
      </c>
      <c r="BS35" s="1932">
        <v>0.25</v>
      </c>
      <c r="BT35" s="1932">
        <v>0.25</v>
      </c>
      <c r="BU35" s="1932">
        <v>0.25</v>
      </c>
      <c r="BV35" s="1932">
        <v>0.25</v>
      </c>
      <c r="BW35" s="1932">
        <v>0.25</v>
      </c>
      <c r="BX35" s="1932">
        <v>0.25</v>
      </c>
      <c r="BY35" s="2457">
        <v>0.25</v>
      </c>
      <c r="BZ35" s="1932">
        <v>0.25</v>
      </c>
      <c r="CA35" s="1932">
        <v>0.25</v>
      </c>
      <c r="CB35" s="1933"/>
      <c r="CC35" s="1932"/>
      <c r="CD35" s="1932"/>
      <c r="CE35" s="2271"/>
      <c r="CG35" s="1927">
        <v>3</v>
      </c>
      <c r="CH35" s="1931" t="s">
        <v>953</v>
      </c>
      <c r="CI35" s="1928" t="s">
        <v>948</v>
      </c>
      <c r="CJ35" s="2703">
        <f t="shared" si="19"/>
        <v>0.25</v>
      </c>
      <c r="CK35" s="2703">
        <f t="shared" si="20"/>
        <v>0.25</v>
      </c>
      <c r="CL35" s="2703">
        <f t="shared" si="21"/>
        <v>0.25</v>
      </c>
      <c r="CM35" s="2703">
        <f t="shared" si="22"/>
        <v>0.25</v>
      </c>
      <c r="CN35" s="2703">
        <f t="shared" si="23"/>
        <v>0.25</v>
      </c>
      <c r="CO35" s="2703">
        <f t="shared" si="24"/>
        <v>0.25</v>
      </c>
      <c r="CP35" s="2703">
        <f t="shared" si="25"/>
        <v>0.25</v>
      </c>
      <c r="CQ35" s="2710">
        <f t="shared" si="26"/>
        <v>0.25</v>
      </c>
      <c r="CR35" s="2703">
        <f t="shared" si="27"/>
        <v>0.25</v>
      </c>
      <c r="CS35" s="2703">
        <f t="shared" si="28"/>
        <v>0.25</v>
      </c>
      <c r="CT35" s="2705">
        <f t="shared" si="13"/>
        <v>0</v>
      </c>
      <c r="CU35" s="2703">
        <f t="shared" si="14"/>
        <v>0</v>
      </c>
      <c r="CV35" s="2703">
        <f t="shared" si="15"/>
        <v>0</v>
      </c>
      <c r="CX35" s="1927">
        <v>3</v>
      </c>
      <c r="CY35" s="1931" t="s">
        <v>953</v>
      </c>
      <c r="CZ35" s="1928" t="s">
        <v>948</v>
      </c>
      <c r="DA35" s="2693">
        <f t="shared" si="29"/>
        <v>0.25</v>
      </c>
      <c r="DB35" s="2693"/>
      <c r="DC35" s="2693"/>
      <c r="DD35" s="2693"/>
      <c r="DE35" s="2693"/>
      <c r="DF35" s="2693"/>
      <c r="DG35" s="2693"/>
      <c r="DH35" s="2906"/>
      <c r="DI35" s="2693"/>
      <c r="DJ35" s="2693"/>
      <c r="DK35" s="2694"/>
      <c r="DL35" s="2693"/>
      <c r="DM35" s="2693"/>
    </row>
    <row r="36" spans="2:117">
      <c r="B36" s="1916">
        <f t="shared" si="0"/>
        <v>3.1</v>
      </c>
      <c r="C36" s="1938" t="str">
        <f t="shared" si="1"/>
        <v>昼光利用</v>
      </c>
      <c r="D36" s="1935" t="e">
        <f>IF(I$35=0,0,G36/I$35)</f>
        <v>#DIV/0!</v>
      </c>
      <c r="E36" s="1936" t="e">
        <f>IF(J$35=0,0,H36/J$35)</f>
        <v>#DIV/0!</v>
      </c>
      <c r="G36" s="1936" t="e">
        <f t="shared" si="2"/>
        <v>#DIV/0!</v>
      </c>
      <c r="H36" s="1936" t="e">
        <f t="shared" si="3"/>
        <v>#DIV/0!</v>
      </c>
      <c r="I36" s="1936" t="e">
        <f>SUM(G37:G39)</f>
        <v>#DIV/0!</v>
      </c>
      <c r="J36" s="1936" t="e">
        <f>SUM(H37:H39)</f>
        <v>#DIV/0!</v>
      </c>
      <c r="K36" s="1936" t="e">
        <f>IF(スコア!O36=0,0,1)</f>
        <v>#DIV/0!</v>
      </c>
      <c r="L36" s="1936" t="e">
        <f>IF(スコア!R36=0,0,1)</f>
        <v>#DIV/0!</v>
      </c>
      <c r="M36" s="1936" t="e">
        <f t="shared" si="4"/>
        <v>#DIV/0!</v>
      </c>
      <c r="N36" s="1936" t="e">
        <f t="shared" si="5"/>
        <v>#DIV/0!</v>
      </c>
      <c r="P36" s="1937">
        <f t="shared" si="6"/>
        <v>3.1</v>
      </c>
      <c r="Q36" s="1937" t="str">
        <f t="shared" si="7"/>
        <v xml:space="preserve"> Q1 3</v>
      </c>
      <c r="R36" s="1938" t="str">
        <f t="shared" si="8"/>
        <v>昼光利用</v>
      </c>
      <c r="S36" s="2799">
        <f t="shared" si="16"/>
        <v>0.3</v>
      </c>
      <c r="T36" s="2799">
        <f t="shared" si="32"/>
        <v>0.3</v>
      </c>
      <c r="U36" s="2799">
        <f t="shared" si="33"/>
        <v>0.5</v>
      </c>
      <c r="V36" s="2799">
        <f t="shared" si="34"/>
        <v>1</v>
      </c>
      <c r="W36" s="2799">
        <f t="shared" si="35"/>
        <v>0.3</v>
      </c>
      <c r="X36" s="2799">
        <f t="shared" si="36"/>
        <v>0.3</v>
      </c>
      <c r="Y36" s="2799">
        <f t="shared" si="37"/>
        <v>0.3</v>
      </c>
      <c r="Z36" s="2803">
        <f t="shared" si="38"/>
        <v>0.3</v>
      </c>
      <c r="AA36" s="2799">
        <f t="shared" si="17"/>
        <v>0.3</v>
      </c>
      <c r="AB36" s="2799">
        <f t="shared" si="10"/>
        <v>0.3</v>
      </c>
      <c r="AC36" s="2800">
        <f t="shared" si="11"/>
        <v>0.3</v>
      </c>
      <c r="AD36" s="2799">
        <f t="shared" si="12"/>
        <v>0.3</v>
      </c>
      <c r="AE36" s="2799">
        <f t="shared" si="18"/>
        <v>0.3</v>
      </c>
      <c r="AG36" s="1937">
        <v>3.1</v>
      </c>
      <c r="AH36" s="1941" t="s">
        <v>2534</v>
      </c>
      <c r="AI36" s="1938" t="s">
        <v>1847</v>
      </c>
      <c r="AJ36" s="1939">
        <v>0.3</v>
      </c>
      <c r="AK36" s="1939">
        <v>0.3</v>
      </c>
      <c r="AL36" s="1939">
        <v>0.5</v>
      </c>
      <c r="AM36" s="1939">
        <v>1</v>
      </c>
      <c r="AN36" s="1939">
        <v>0.3</v>
      </c>
      <c r="AO36" s="1939">
        <v>0.3</v>
      </c>
      <c r="AP36" s="1939">
        <v>0.3</v>
      </c>
      <c r="AQ36" s="1955"/>
      <c r="AR36" s="1939">
        <v>0.3</v>
      </c>
      <c r="AS36" s="1944">
        <v>0.3</v>
      </c>
      <c r="AT36" s="1945">
        <v>0.3</v>
      </c>
      <c r="AU36" s="1944">
        <v>0.3</v>
      </c>
      <c r="AV36" s="1944">
        <v>0.3</v>
      </c>
      <c r="AX36" s="1937">
        <v>3.1</v>
      </c>
      <c r="AY36" s="1941" t="s">
        <v>2534</v>
      </c>
      <c r="AZ36" s="1938" t="s">
        <v>1847</v>
      </c>
      <c r="BA36" s="1944">
        <v>0.3</v>
      </c>
      <c r="BB36" s="1944">
        <v>0.3</v>
      </c>
      <c r="BC36" s="1944">
        <v>0.5</v>
      </c>
      <c r="BD36" s="1944">
        <v>1</v>
      </c>
      <c r="BE36" s="1944">
        <v>0.3</v>
      </c>
      <c r="BF36" s="1944">
        <v>0.3</v>
      </c>
      <c r="BG36" s="1944">
        <v>0.3</v>
      </c>
      <c r="BH36" s="1946"/>
      <c r="BI36" s="1944">
        <v>0.3</v>
      </c>
      <c r="BJ36" s="1944">
        <v>0.3</v>
      </c>
      <c r="BK36" s="1945">
        <v>0.3</v>
      </c>
      <c r="BL36" s="1944">
        <v>0.3</v>
      </c>
      <c r="BM36" s="1944">
        <v>0.3</v>
      </c>
      <c r="BO36" s="1937">
        <v>3.1</v>
      </c>
      <c r="BP36" s="1941" t="s">
        <v>2534</v>
      </c>
      <c r="BQ36" s="1938" t="s">
        <v>1847</v>
      </c>
      <c r="BR36" s="1944">
        <v>0.3</v>
      </c>
      <c r="BS36" s="1944">
        <v>0.3</v>
      </c>
      <c r="BT36" s="1944">
        <v>0.5</v>
      </c>
      <c r="BU36" s="1944">
        <v>1</v>
      </c>
      <c r="BV36" s="1944">
        <v>0.3</v>
      </c>
      <c r="BW36" s="1944">
        <v>0.3</v>
      </c>
      <c r="BX36" s="1944">
        <v>0.3</v>
      </c>
      <c r="BY36" s="2460">
        <v>0.3</v>
      </c>
      <c r="BZ36" s="1944">
        <v>0.3</v>
      </c>
      <c r="CA36" s="1944">
        <v>0.3</v>
      </c>
      <c r="CB36" s="1945">
        <v>0.3</v>
      </c>
      <c r="CC36" s="1944">
        <v>0.3</v>
      </c>
      <c r="CD36" s="1944">
        <v>0.3</v>
      </c>
      <c r="CE36" s="2272"/>
      <c r="CG36" s="1937">
        <v>3.1</v>
      </c>
      <c r="CH36" s="1941" t="s">
        <v>2534</v>
      </c>
      <c r="CI36" s="1938" t="s">
        <v>1847</v>
      </c>
      <c r="CJ36" s="2706">
        <f t="shared" si="19"/>
        <v>0.3</v>
      </c>
      <c r="CK36" s="2706">
        <f t="shared" si="20"/>
        <v>0.3</v>
      </c>
      <c r="CL36" s="2706">
        <f t="shared" si="21"/>
        <v>0.5</v>
      </c>
      <c r="CM36" s="2706">
        <f t="shared" si="22"/>
        <v>1</v>
      </c>
      <c r="CN36" s="2706">
        <f t="shared" si="23"/>
        <v>0.3</v>
      </c>
      <c r="CO36" s="2706">
        <f t="shared" si="24"/>
        <v>0.3</v>
      </c>
      <c r="CP36" s="2706">
        <f t="shared" si="25"/>
        <v>0.3</v>
      </c>
      <c r="CQ36" s="2706">
        <f t="shared" si="25"/>
        <v>0.3</v>
      </c>
      <c r="CR36" s="2706">
        <f t="shared" si="27"/>
        <v>0.3</v>
      </c>
      <c r="CS36" s="2706">
        <f t="shared" si="28"/>
        <v>0.3</v>
      </c>
      <c r="CT36" s="2708">
        <f t="shared" si="13"/>
        <v>0.3</v>
      </c>
      <c r="CU36" s="2706">
        <f t="shared" si="14"/>
        <v>0.3</v>
      </c>
      <c r="CV36" s="2706">
        <f t="shared" si="15"/>
        <v>0.3</v>
      </c>
      <c r="CX36" s="1937">
        <v>3.1</v>
      </c>
      <c r="CY36" s="1941" t="s">
        <v>2534</v>
      </c>
      <c r="CZ36" s="1938" t="s">
        <v>1847</v>
      </c>
      <c r="DA36" s="2695">
        <f t="shared" si="29"/>
        <v>0.3</v>
      </c>
      <c r="DB36" s="2695"/>
      <c r="DC36" s="2695"/>
      <c r="DD36" s="2695"/>
      <c r="DE36" s="2695"/>
      <c r="DF36" s="2695"/>
      <c r="DG36" s="2695"/>
      <c r="DH36" s="2695"/>
      <c r="DI36" s="2695"/>
      <c r="DJ36" s="2695"/>
      <c r="DK36" s="2905"/>
      <c r="DL36" s="2695"/>
      <c r="DM36" s="2695"/>
    </row>
    <row r="37" spans="2:117">
      <c r="B37" s="1916" t="str">
        <f t="shared" si="0"/>
        <v>3.1.1</v>
      </c>
      <c r="C37" s="1938" t="str">
        <f t="shared" si="1"/>
        <v>昼光率</v>
      </c>
      <c r="D37" s="1926" t="e">
        <f t="shared" ref="D37:E39" si="62">IF(I$36&gt;0,G37/I$36,0)</f>
        <v>#DIV/0!</v>
      </c>
      <c r="E37" s="1936" t="e">
        <f t="shared" si="62"/>
        <v>#DIV/0!</v>
      </c>
      <c r="G37" s="1936" t="e">
        <f t="shared" si="2"/>
        <v>#DIV/0!</v>
      </c>
      <c r="H37" s="1936" t="e">
        <f t="shared" si="3"/>
        <v>#DIV/0!</v>
      </c>
      <c r="I37" s="1936"/>
      <c r="J37" s="1936"/>
      <c r="K37" s="1936">
        <f>IF(スコア!O37=0,0,1)</f>
        <v>1</v>
      </c>
      <c r="L37" s="1936">
        <f>IF(スコア!R37=0,0,1)</f>
        <v>1</v>
      </c>
      <c r="M37" s="1936" t="e">
        <f t="shared" si="4"/>
        <v>#DIV/0!</v>
      </c>
      <c r="N37" s="1936" t="e">
        <f t="shared" si="5"/>
        <v>#DIV/0!</v>
      </c>
      <c r="P37" s="1937" t="str">
        <f t="shared" si="6"/>
        <v>3.1.1</v>
      </c>
      <c r="Q37" s="1937" t="str">
        <f t="shared" si="7"/>
        <v xml:space="preserve"> Q1 3.1</v>
      </c>
      <c r="R37" s="1938" t="str">
        <f t="shared" si="8"/>
        <v>昼光率</v>
      </c>
      <c r="S37" s="2799">
        <f t="shared" si="16"/>
        <v>0.6</v>
      </c>
      <c r="T37" s="2799">
        <f t="shared" si="32"/>
        <v>0.6</v>
      </c>
      <c r="U37" s="2799">
        <f t="shared" si="33"/>
        <v>0</v>
      </c>
      <c r="V37" s="2799">
        <f t="shared" si="34"/>
        <v>0</v>
      </c>
      <c r="W37" s="2799">
        <f t="shared" si="35"/>
        <v>0.6</v>
      </c>
      <c r="X37" s="2799">
        <f t="shared" si="36"/>
        <v>0.6</v>
      </c>
      <c r="Y37" s="2799">
        <f t="shared" si="37"/>
        <v>0.6</v>
      </c>
      <c r="Z37" s="2803">
        <f t="shared" si="38"/>
        <v>0.6</v>
      </c>
      <c r="AA37" s="2799">
        <f t="shared" si="17"/>
        <v>0.6</v>
      </c>
      <c r="AB37" s="2799">
        <f t="shared" si="10"/>
        <v>0.6</v>
      </c>
      <c r="AC37" s="2800">
        <f t="shared" si="11"/>
        <v>0.6</v>
      </c>
      <c r="AD37" s="2799">
        <f t="shared" si="12"/>
        <v>0.6</v>
      </c>
      <c r="AE37" s="2799">
        <f t="shared" si="18"/>
        <v>0.5</v>
      </c>
      <c r="AG37" s="1937" t="s">
        <v>1140</v>
      </c>
      <c r="AH37" s="1941" t="s">
        <v>2535</v>
      </c>
      <c r="AI37" s="1942" t="s">
        <v>2536</v>
      </c>
      <c r="AJ37" s="1939">
        <v>0.6</v>
      </c>
      <c r="AK37" s="1939">
        <v>0.6</v>
      </c>
      <c r="AL37" s="1939"/>
      <c r="AM37" s="1939"/>
      <c r="AN37" s="1939">
        <v>0.6</v>
      </c>
      <c r="AO37" s="1939">
        <v>0.6</v>
      </c>
      <c r="AP37" s="1939">
        <v>0.6</v>
      </c>
      <c r="AQ37" s="1955"/>
      <c r="AR37" s="1939">
        <v>0.6</v>
      </c>
      <c r="AS37" s="1944">
        <v>0.6</v>
      </c>
      <c r="AT37" s="1945">
        <v>0.6</v>
      </c>
      <c r="AU37" s="1944">
        <v>0.6</v>
      </c>
      <c r="AV37" s="1944">
        <v>0.5</v>
      </c>
      <c r="AX37" s="1937" t="s">
        <v>1140</v>
      </c>
      <c r="AY37" s="1941" t="s">
        <v>2535</v>
      </c>
      <c r="AZ37" s="1942" t="s">
        <v>2536</v>
      </c>
      <c r="BA37" s="1944">
        <v>0.6</v>
      </c>
      <c r="BB37" s="1944">
        <v>0.6</v>
      </c>
      <c r="BC37" s="1944"/>
      <c r="BD37" s="1944"/>
      <c r="BE37" s="1944">
        <v>0.6</v>
      </c>
      <c r="BF37" s="1944">
        <v>0.6</v>
      </c>
      <c r="BG37" s="1944">
        <v>0.6</v>
      </c>
      <c r="BH37" s="1946"/>
      <c r="BI37" s="1944">
        <v>0.6</v>
      </c>
      <c r="BJ37" s="1944">
        <v>0.6</v>
      </c>
      <c r="BK37" s="1945">
        <v>0.6</v>
      </c>
      <c r="BL37" s="1944">
        <v>0.6</v>
      </c>
      <c r="BM37" s="1944">
        <v>0.5</v>
      </c>
      <c r="BO37" s="1937" t="s">
        <v>1140</v>
      </c>
      <c r="BP37" s="1941" t="s">
        <v>2535</v>
      </c>
      <c r="BQ37" s="1942" t="s">
        <v>2536</v>
      </c>
      <c r="BR37" s="1944">
        <v>0.6</v>
      </c>
      <c r="BS37" s="1944">
        <v>0.6</v>
      </c>
      <c r="BT37" s="1944"/>
      <c r="BU37" s="1944"/>
      <c r="BV37" s="1944">
        <v>0.6</v>
      </c>
      <c r="BW37" s="1944">
        <v>0.6</v>
      </c>
      <c r="BX37" s="1944">
        <v>0.6</v>
      </c>
      <c r="BY37" s="2458">
        <v>0.6</v>
      </c>
      <c r="BZ37" s="1944">
        <v>0.6</v>
      </c>
      <c r="CA37" s="1944">
        <v>0.6</v>
      </c>
      <c r="CB37" s="1945">
        <v>0.6</v>
      </c>
      <c r="CC37" s="1944">
        <v>0.6</v>
      </c>
      <c r="CD37" s="1944">
        <v>0.5</v>
      </c>
      <c r="CE37" s="2272"/>
      <c r="CG37" s="1937" t="s">
        <v>1140</v>
      </c>
      <c r="CH37" s="1941" t="s">
        <v>2535</v>
      </c>
      <c r="CI37" s="1942" t="s">
        <v>2536</v>
      </c>
      <c r="CJ37" s="2706">
        <f t="shared" si="19"/>
        <v>0.6</v>
      </c>
      <c r="CK37" s="2706">
        <f t="shared" si="20"/>
        <v>0.6</v>
      </c>
      <c r="CL37" s="2706">
        <f t="shared" si="21"/>
        <v>0</v>
      </c>
      <c r="CM37" s="2706">
        <f t="shared" si="22"/>
        <v>0</v>
      </c>
      <c r="CN37" s="2706">
        <f t="shared" si="23"/>
        <v>0.6</v>
      </c>
      <c r="CO37" s="2706">
        <f t="shared" si="24"/>
        <v>0.6</v>
      </c>
      <c r="CP37" s="2706">
        <f t="shared" si="25"/>
        <v>0.6</v>
      </c>
      <c r="CQ37" s="2706">
        <f t="shared" si="25"/>
        <v>0.6</v>
      </c>
      <c r="CR37" s="2706">
        <f t="shared" si="27"/>
        <v>0.6</v>
      </c>
      <c r="CS37" s="2706">
        <f t="shared" si="28"/>
        <v>0.6</v>
      </c>
      <c r="CT37" s="2708">
        <f t="shared" si="13"/>
        <v>0.6</v>
      </c>
      <c r="CU37" s="2706">
        <f t="shared" si="14"/>
        <v>0.6</v>
      </c>
      <c r="CV37" s="2706">
        <f t="shared" si="15"/>
        <v>0.5</v>
      </c>
      <c r="CX37" s="1937" t="s">
        <v>1140</v>
      </c>
      <c r="CY37" s="1941" t="s">
        <v>2535</v>
      </c>
      <c r="CZ37" s="1942" t="s">
        <v>2536</v>
      </c>
      <c r="DA37" s="2695">
        <f t="shared" si="29"/>
        <v>0.6</v>
      </c>
      <c r="DB37" s="2695"/>
      <c r="DC37" s="2695"/>
      <c r="DD37" s="2695"/>
      <c r="DE37" s="2695"/>
      <c r="DF37" s="2695"/>
      <c r="DG37" s="2695"/>
      <c r="DH37" s="2695"/>
      <c r="DI37" s="2695"/>
      <c r="DJ37" s="2695"/>
      <c r="DK37" s="2905"/>
      <c r="DL37" s="2695"/>
      <c r="DM37" s="2695"/>
    </row>
    <row r="38" spans="2:117">
      <c r="B38" s="1916" t="str">
        <f t="shared" si="0"/>
        <v>3.1.2</v>
      </c>
      <c r="C38" s="1938" t="str">
        <f t="shared" si="1"/>
        <v>方位別開口</v>
      </c>
      <c r="D38" s="1926" t="e">
        <f t="shared" si="62"/>
        <v>#DIV/0!</v>
      </c>
      <c r="E38" s="1936" t="e">
        <f t="shared" si="62"/>
        <v>#DIV/0!</v>
      </c>
      <c r="G38" s="1936" t="e">
        <f t="shared" si="2"/>
        <v>#DIV/0!</v>
      </c>
      <c r="H38" s="1936" t="e">
        <f t="shared" si="3"/>
        <v>#DIV/0!</v>
      </c>
      <c r="I38" s="1936"/>
      <c r="J38" s="1936"/>
      <c r="K38" s="1936">
        <f>IF(スコア!O38=0,0,1)</f>
        <v>0</v>
      </c>
      <c r="L38" s="1936">
        <f>IF(スコア!R38=0,0,1)</f>
        <v>1</v>
      </c>
      <c r="M38" s="1936" t="e">
        <f t="shared" si="4"/>
        <v>#DIV/0!</v>
      </c>
      <c r="N38" s="1936" t="e">
        <f t="shared" si="5"/>
        <v>#DIV/0!</v>
      </c>
      <c r="P38" s="1937" t="str">
        <f t="shared" si="6"/>
        <v>3.1.2</v>
      </c>
      <c r="Q38" s="1937" t="str">
        <f t="shared" si="7"/>
        <v xml:space="preserve"> Q1 3.1</v>
      </c>
      <c r="R38" s="1938" t="str">
        <f t="shared" si="8"/>
        <v>方位別開口</v>
      </c>
      <c r="S38" s="2799">
        <f t="shared" si="16"/>
        <v>0</v>
      </c>
      <c r="T38" s="2799">
        <f t="shared" si="32"/>
        <v>0</v>
      </c>
      <c r="U38" s="2799">
        <f t="shared" si="33"/>
        <v>0</v>
      </c>
      <c r="V38" s="2799">
        <f t="shared" si="34"/>
        <v>0</v>
      </c>
      <c r="W38" s="2799">
        <f t="shared" si="35"/>
        <v>0</v>
      </c>
      <c r="X38" s="2799">
        <f t="shared" si="36"/>
        <v>0</v>
      </c>
      <c r="Y38" s="2799">
        <f t="shared" si="37"/>
        <v>0</v>
      </c>
      <c r="Z38" s="2803">
        <f t="shared" si="38"/>
        <v>0</v>
      </c>
      <c r="AA38" s="2799">
        <f t="shared" si="17"/>
        <v>0</v>
      </c>
      <c r="AB38" s="2799">
        <f t="shared" si="10"/>
        <v>0</v>
      </c>
      <c r="AC38" s="2800">
        <f t="shared" si="11"/>
        <v>0</v>
      </c>
      <c r="AD38" s="2799">
        <f t="shared" si="12"/>
        <v>0</v>
      </c>
      <c r="AE38" s="2799">
        <f t="shared" si="18"/>
        <v>0.3</v>
      </c>
      <c r="AG38" s="1937" t="s">
        <v>1141</v>
      </c>
      <c r="AH38" s="1941" t="s">
        <v>2535</v>
      </c>
      <c r="AI38" s="1942" t="s">
        <v>2537</v>
      </c>
      <c r="AJ38" s="1939"/>
      <c r="AK38" s="1939"/>
      <c r="AL38" s="1939"/>
      <c r="AM38" s="1939"/>
      <c r="AN38" s="1939"/>
      <c r="AO38" s="1939"/>
      <c r="AP38" s="1939"/>
      <c r="AQ38" s="1955"/>
      <c r="AR38" s="1939"/>
      <c r="AS38" s="1944"/>
      <c r="AT38" s="1945"/>
      <c r="AU38" s="1944"/>
      <c r="AV38" s="1944">
        <v>0.3</v>
      </c>
      <c r="AX38" s="1937" t="s">
        <v>1141</v>
      </c>
      <c r="AY38" s="1941" t="s">
        <v>2535</v>
      </c>
      <c r="AZ38" s="1942" t="s">
        <v>2537</v>
      </c>
      <c r="BA38" s="1944"/>
      <c r="BB38" s="1944"/>
      <c r="BC38" s="1944"/>
      <c r="BD38" s="1944"/>
      <c r="BE38" s="1944"/>
      <c r="BF38" s="1944"/>
      <c r="BG38" s="1944"/>
      <c r="BH38" s="1946"/>
      <c r="BI38" s="1944"/>
      <c r="BJ38" s="1944"/>
      <c r="BK38" s="1945"/>
      <c r="BL38" s="1944"/>
      <c r="BM38" s="1944">
        <v>0.3</v>
      </c>
      <c r="BO38" s="1937" t="s">
        <v>1141</v>
      </c>
      <c r="BP38" s="1941" t="s">
        <v>2535</v>
      </c>
      <c r="BQ38" s="1942" t="s">
        <v>2537</v>
      </c>
      <c r="BR38" s="1944"/>
      <c r="BS38" s="1944"/>
      <c r="BT38" s="1944"/>
      <c r="BU38" s="1944"/>
      <c r="BV38" s="1944"/>
      <c r="BW38" s="1944"/>
      <c r="BX38" s="1944"/>
      <c r="BY38" s="2458"/>
      <c r="BZ38" s="1944"/>
      <c r="CA38" s="1944"/>
      <c r="CB38" s="1945"/>
      <c r="CC38" s="1944"/>
      <c r="CD38" s="1944">
        <v>0.3</v>
      </c>
      <c r="CE38" s="2272"/>
      <c r="CG38" s="1937" t="s">
        <v>1141</v>
      </c>
      <c r="CH38" s="1941" t="s">
        <v>2535</v>
      </c>
      <c r="CI38" s="1942" t="s">
        <v>2537</v>
      </c>
      <c r="CJ38" s="2706">
        <f t="shared" si="19"/>
        <v>0</v>
      </c>
      <c r="CK38" s="2706">
        <f t="shared" si="20"/>
        <v>0</v>
      </c>
      <c r="CL38" s="2706">
        <f t="shared" si="21"/>
        <v>0</v>
      </c>
      <c r="CM38" s="2706">
        <f t="shared" si="22"/>
        <v>0</v>
      </c>
      <c r="CN38" s="2706">
        <f t="shared" si="23"/>
        <v>0</v>
      </c>
      <c r="CO38" s="2706">
        <f t="shared" si="24"/>
        <v>0</v>
      </c>
      <c r="CP38" s="2706">
        <f t="shared" si="25"/>
        <v>0</v>
      </c>
      <c r="CQ38" s="2706">
        <f t="shared" si="25"/>
        <v>0</v>
      </c>
      <c r="CR38" s="2706">
        <f t="shared" si="27"/>
        <v>0</v>
      </c>
      <c r="CS38" s="2706">
        <f t="shared" si="28"/>
        <v>0</v>
      </c>
      <c r="CT38" s="2708">
        <f t="shared" si="13"/>
        <v>0</v>
      </c>
      <c r="CU38" s="2706">
        <f t="shared" si="14"/>
        <v>0</v>
      </c>
      <c r="CV38" s="2706">
        <f t="shared" si="15"/>
        <v>0.3</v>
      </c>
      <c r="CX38" s="1937" t="s">
        <v>1141</v>
      </c>
      <c r="CY38" s="1941" t="s">
        <v>2535</v>
      </c>
      <c r="CZ38" s="1942" t="s">
        <v>2537</v>
      </c>
      <c r="DA38" s="2695">
        <f t="shared" si="29"/>
        <v>0</v>
      </c>
      <c r="DB38" s="2695"/>
      <c r="DC38" s="2695"/>
      <c r="DD38" s="2695"/>
      <c r="DE38" s="2695"/>
      <c r="DF38" s="2695"/>
      <c r="DG38" s="2695"/>
      <c r="DH38" s="2695"/>
      <c r="DI38" s="2695"/>
      <c r="DJ38" s="2695"/>
      <c r="DK38" s="2905"/>
      <c r="DL38" s="2695"/>
      <c r="DM38" s="2695"/>
    </row>
    <row r="39" spans="2:117">
      <c r="B39" s="1916" t="str">
        <f t="shared" si="0"/>
        <v>3.1.3</v>
      </c>
      <c r="C39" s="1938" t="str">
        <f t="shared" si="1"/>
        <v>昼光利用設備</v>
      </c>
      <c r="D39" s="1926" t="e">
        <f t="shared" si="62"/>
        <v>#DIV/0!</v>
      </c>
      <c r="E39" s="1936" t="e">
        <f t="shared" si="62"/>
        <v>#DIV/0!</v>
      </c>
      <c r="G39" s="1936" t="e">
        <f t="shared" si="2"/>
        <v>#DIV/0!</v>
      </c>
      <c r="H39" s="1936" t="e">
        <f t="shared" si="3"/>
        <v>#DIV/0!</v>
      </c>
      <c r="I39" s="1936"/>
      <c r="J39" s="1936"/>
      <c r="K39" s="1936">
        <f>IF(スコア!O39=0,0,1)</f>
        <v>1</v>
      </c>
      <c r="L39" s="1936">
        <f>IF(スコア!R39=0,0,1)</f>
        <v>1</v>
      </c>
      <c r="M39" s="1936" t="e">
        <f t="shared" si="4"/>
        <v>#DIV/0!</v>
      </c>
      <c r="N39" s="1936" t="e">
        <f t="shared" si="5"/>
        <v>#DIV/0!</v>
      </c>
      <c r="P39" s="1937" t="str">
        <f t="shared" si="6"/>
        <v>3.1.3</v>
      </c>
      <c r="Q39" s="1937" t="str">
        <f t="shared" si="7"/>
        <v xml:space="preserve"> Q1 3.1</v>
      </c>
      <c r="R39" s="1938" t="str">
        <f t="shared" si="8"/>
        <v>昼光利用設備</v>
      </c>
      <c r="S39" s="2799">
        <f t="shared" si="16"/>
        <v>0.4</v>
      </c>
      <c r="T39" s="2799">
        <f t="shared" si="32"/>
        <v>0.4</v>
      </c>
      <c r="U39" s="2799">
        <f t="shared" si="33"/>
        <v>1</v>
      </c>
      <c r="V39" s="2799">
        <f t="shared" si="34"/>
        <v>1</v>
      </c>
      <c r="W39" s="2799">
        <f t="shared" si="35"/>
        <v>0.4</v>
      </c>
      <c r="X39" s="2799">
        <f t="shared" si="36"/>
        <v>0.4</v>
      </c>
      <c r="Y39" s="2799">
        <f t="shared" si="37"/>
        <v>0.4</v>
      </c>
      <c r="Z39" s="2803">
        <f t="shared" si="38"/>
        <v>0.4</v>
      </c>
      <c r="AA39" s="2799">
        <f t="shared" si="17"/>
        <v>0.4</v>
      </c>
      <c r="AB39" s="2799">
        <f t="shared" si="10"/>
        <v>0.4</v>
      </c>
      <c r="AC39" s="2800">
        <f t="shared" si="11"/>
        <v>0.4</v>
      </c>
      <c r="AD39" s="2799">
        <f t="shared" si="12"/>
        <v>0.4</v>
      </c>
      <c r="AE39" s="2799">
        <f t="shared" si="18"/>
        <v>0.2</v>
      </c>
      <c r="AG39" s="1937" t="s">
        <v>1142</v>
      </c>
      <c r="AH39" s="1941" t="s">
        <v>2535</v>
      </c>
      <c r="AI39" s="1942" t="s">
        <v>2538</v>
      </c>
      <c r="AJ39" s="1939">
        <v>0.4</v>
      </c>
      <c r="AK39" s="1939">
        <v>0.4</v>
      </c>
      <c r="AL39" s="1939">
        <v>1</v>
      </c>
      <c r="AM39" s="1939">
        <v>1</v>
      </c>
      <c r="AN39" s="1939">
        <v>0.4</v>
      </c>
      <c r="AO39" s="1939">
        <v>0.4</v>
      </c>
      <c r="AP39" s="1939">
        <v>0.4</v>
      </c>
      <c r="AQ39" s="1955"/>
      <c r="AR39" s="1939">
        <v>0.4</v>
      </c>
      <c r="AS39" s="1944">
        <v>0.4</v>
      </c>
      <c r="AT39" s="1945">
        <v>0.4</v>
      </c>
      <c r="AU39" s="1944">
        <v>0.4</v>
      </c>
      <c r="AV39" s="1944">
        <v>0.2</v>
      </c>
      <c r="AX39" s="1937" t="s">
        <v>1142</v>
      </c>
      <c r="AY39" s="1941" t="s">
        <v>2535</v>
      </c>
      <c r="AZ39" s="1942" t="s">
        <v>2538</v>
      </c>
      <c r="BA39" s="1944">
        <v>0.4</v>
      </c>
      <c r="BB39" s="1944">
        <v>0.4</v>
      </c>
      <c r="BC39" s="1944">
        <v>1</v>
      </c>
      <c r="BD39" s="1944">
        <v>1</v>
      </c>
      <c r="BE39" s="1944">
        <v>0.4</v>
      </c>
      <c r="BF39" s="1944">
        <v>0.4</v>
      </c>
      <c r="BG39" s="1944">
        <v>0.4</v>
      </c>
      <c r="BH39" s="1946"/>
      <c r="BI39" s="1944">
        <v>0.4</v>
      </c>
      <c r="BJ39" s="1944">
        <v>0.4</v>
      </c>
      <c r="BK39" s="1945">
        <v>0.4</v>
      </c>
      <c r="BL39" s="1944">
        <v>0.4</v>
      </c>
      <c r="BM39" s="1944">
        <v>0.2</v>
      </c>
      <c r="BO39" s="1937" t="s">
        <v>1142</v>
      </c>
      <c r="BP39" s="1941" t="s">
        <v>2535</v>
      </c>
      <c r="BQ39" s="1942" t="s">
        <v>2538</v>
      </c>
      <c r="BR39" s="1944">
        <v>0.4</v>
      </c>
      <c r="BS39" s="1944">
        <v>0.4</v>
      </c>
      <c r="BT39" s="1944">
        <v>1</v>
      </c>
      <c r="BU39" s="1944">
        <v>1</v>
      </c>
      <c r="BV39" s="1944">
        <v>0.4</v>
      </c>
      <c r="BW39" s="1944">
        <v>0.4</v>
      </c>
      <c r="BX39" s="1944">
        <v>0.4</v>
      </c>
      <c r="BY39" s="2458">
        <v>0.4</v>
      </c>
      <c r="BZ39" s="1944">
        <v>0.4</v>
      </c>
      <c r="CA39" s="1944">
        <v>0.4</v>
      </c>
      <c r="CB39" s="1945">
        <v>0.4</v>
      </c>
      <c r="CC39" s="1944">
        <v>0.4</v>
      </c>
      <c r="CD39" s="1944">
        <v>0.2</v>
      </c>
      <c r="CE39" s="2272"/>
      <c r="CG39" s="1937" t="s">
        <v>1142</v>
      </c>
      <c r="CH39" s="1941" t="s">
        <v>2535</v>
      </c>
      <c r="CI39" s="1942" t="s">
        <v>2538</v>
      </c>
      <c r="CJ39" s="2706">
        <f t="shared" si="19"/>
        <v>0.4</v>
      </c>
      <c r="CK39" s="2706">
        <f t="shared" si="20"/>
        <v>0.4</v>
      </c>
      <c r="CL39" s="2706">
        <f t="shared" si="21"/>
        <v>1</v>
      </c>
      <c r="CM39" s="2706">
        <f t="shared" si="22"/>
        <v>1</v>
      </c>
      <c r="CN39" s="2706">
        <f t="shared" si="23"/>
        <v>0.4</v>
      </c>
      <c r="CO39" s="2706">
        <f t="shared" si="24"/>
        <v>0.4</v>
      </c>
      <c r="CP39" s="2706">
        <f t="shared" si="25"/>
        <v>0.4</v>
      </c>
      <c r="CQ39" s="2706">
        <f t="shared" si="25"/>
        <v>0.4</v>
      </c>
      <c r="CR39" s="2706">
        <f t="shared" si="27"/>
        <v>0.4</v>
      </c>
      <c r="CS39" s="2706">
        <f t="shared" si="28"/>
        <v>0.4</v>
      </c>
      <c r="CT39" s="2708">
        <f t="shared" si="13"/>
        <v>0.4</v>
      </c>
      <c r="CU39" s="2706">
        <f t="shared" si="14"/>
        <v>0.4</v>
      </c>
      <c r="CV39" s="2706">
        <f t="shared" si="15"/>
        <v>0.2</v>
      </c>
      <c r="CX39" s="1937" t="s">
        <v>1142</v>
      </c>
      <c r="CY39" s="1941" t="s">
        <v>2535</v>
      </c>
      <c r="CZ39" s="1942" t="s">
        <v>2538</v>
      </c>
      <c r="DA39" s="2695">
        <f t="shared" si="29"/>
        <v>0.4</v>
      </c>
      <c r="DB39" s="2695"/>
      <c r="DC39" s="2695"/>
      <c r="DD39" s="2695"/>
      <c r="DE39" s="2695"/>
      <c r="DF39" s="2695"/>
      <c r="DG39" s="2695"/>
      <c r="DH39" s="2695"/>
      <c r="DI39" s="2695"/>
      <c r="DJ39" s="2695"/>
      <c r="DK39" s="2905"/>
      <c r="DL39" s="2695"/>
      <c r="DM39" s="2695"/>
    </row>
    <row r="40" spans="2:117">
      <c r="B40" s="1916">
        <f t="shared" si="0"/>
        <v>3.2</v>
      </c>
      <c r="C40" s="1938" t="str">
        <f t="shared" si="1"/>
        <v>グレア対策</v>
      </c>
      <c r="D40" s="1935" t="e">
        <f>IF(I$35=0,0,G40/I$35)</f>
        <v>#DIV/0!</v>
      </c>
      <c r="E40" s="1936" t="e">
        <f>IF(J$35=0,0,H40/J$35)</f>
        <v>#DIV/0!</v>
      </c>
      <c r="G40" s="1936" t="e">
        <f t="shared" si="2"/>
        <v>#DIV/0!</v>
      </c>
      <c r="H40" s="1936" t="e">
        <f t="shared" si="3"/>
        <v>#DIV/0!</v>
      </c>
      <c r="I40" s="1936" t="e">
        <f>SUM(G41:G43)</f>
        <v>#DIV/0!</v>
      </c>
      <c r="J40" s="1936" t="e">
        <f>SUM(H41:H43)</f>
        <v>#DIV/0!</v>
      </c>
      <c r="K40" s="1936" t="e">
        <f>IF(スコア!O40=0,0,1)</f>
        <v>#DIV/0!</v>
      </c>
      <c r="L40" s="1936" t="e">
        <f>IF(スコア!R40=0,0,1)</f>
        <v>#DIV/0!</v>
      </c>
      <c r="M40" s="1936" t="e">
        <f t="shared" si="4"/>
        <v>#DIV/0!</v>
      </c>
      <c r="N40" s="1936" t="e">
        <f t="shared" si="5"/>
        <v>#DIV/0!</v>
      </c>
      <c r="P40" s="1937">
        <f t="shared" si="6"/>
        <v>3.2</v>
      </c>
      <c r="Q40" s="1937" t="str">
        <f t="shared" si="7"/>
        <v xml:space="preserve"> Q1 3</v>
      </c>
      <c r="R40" s="1938" t="str">
        <f t="shared" si="8"/>
        <v>グレア対策</v>
      </c>
      <c r="S40" s="2799">
        <f t="shared" si="16"/>
        <v>0.3</v>
      </c>
      <c r="T40" s="2799">
        <f t="shared" si="32"/>
        <v>0.3</v>
      </c>
      <c r="U40" s="2799">
        <f t="shared" si="33"/>
        <v>0</v>
      </c>
      <c r="V40" s="2799">
        <f t="shared" si="34"/>
        <v>0</v>
      </c>
      <c r="W40" s="2799">
        <f t="shared" si="35"/>
        <v>0.3</v>
      </c>
      <c r="X40" s="2799">
        <f t="shared" si="36"/>
        <v>0.3</v>
      </c>
      <c r="Y40" s="2799">
        <f t="shared" si="37"/>
        <v>0.3</v>
      </c>
      <c r="Z40" s="2803">
        <f t="shared" si="38"/>
        <v>0</v>
      </c>
      <c r="AA40" s="2799">
        <f t="shared" si="17"/>
        <v>0.3</v>
      </c>
      <c r="AB40" s="2799">
        <f t="shared" si="10"/>
        <v>0.3</v>
      </c>
      <c r="AC40" s="2800">
        <f t="shared" si="11"/>
        <v>0.3</v>
      </c>
      <c r="AD40" s="2799">
        <f t="shared" si="12"/>
        <v>0.3</v>
      </c>
      <c r="AE40" s="2799">
        <f t="shared" si="18"/>
        <v>0.3</v>
      </c>
      <c r="AG40" s="1937">
        <v>3.2</v>
      </c>
      <c r="AH40" s="1941" t="s">
        <v>2534</v>
      </c>
      <c r="AI40" s="1942" t="s">
        <v>1851</v>
      </c>
      <c r="AJ40" s="1939">
        <v>0.3</v>
      </c>
      <c r="AK40" s="1939">
        <v>0.3</v>
      </c>
      <c r="AL40" s="1939"/>
      <c r="AM40" s="1939"/>
      <c r="AN40" s="1939">
        <v>0.3</v>
      </c>
      <c r="AO40" s="1939">
        <v>0.3</v>
      </c>
      <c r="AP40" s="1939">
        <v>0.3</v>
      </c>
      <c r="AQ40" s="1955"/>
      <c r="AR40" s="1939">
        <v>0.3</v>
      </c>
      <c r="AS40" s="1944">
        <v>0.3</v>
      </c>
      <c r="AT40" s="1945">
        <v>0.3</v>
      </c>
      <c r="AU40" s="1944">
        <v>0.3</v>
      </c>
      <c r="AV40" s="1944">
        <v>0.3</v>
      </c>
      <c r="AX40" s="1937">
        <v>3.2</v>
      </c>
      <c r="AY40" s="1941" t="s">
        <v>2534</v>
      </c>
      <c r="AZ40" s="1942" t="s">
        <v>1851</v>
      </c>
      <c r="BA40" s="1944">
        <v>0.3</v>
      </c>
      <c r="BB40" s="1944">
        <v>0.3</v>
      </c>
      <c r="BC40" s="1944"/>
      <c r="BD40" s="1944"/>
      <c r="BE40" s="1944">
        <v>0.3</v>
      </c>
      <c r="BF40" s="1944">
        <v>0.3</v>
      </c>
      <c r="BG40" s="1944">
        <v>0.3</v>
      </c>
      <c r="BH40" s="1946"/>
      <c r="BI40" s="1944">
        <v>0.3</v>
      </c>
      <c r="BJ40" s="1944">
        <v>0.3</v>
      </c>
      <c r="BK40" s="1945">
        <v>0.3</v>
      </c>
      <c r="BL40" s="1944">
        <v>0.3</v>
      </c>
      <c r="BM40" s="1944">
        <v>0.3</v>
      </c>
      <c r="BO40" s="1937">
        <v>3.2</v>
      </c>
      <c r="BP40" s="1941" t="s">
        <v>2534</v>
      </c>
      <c r="BQ40" s="1942" t="s">
        <v>1851</v>
      </c>
      <c r="BR40" s="1944">
        <v>0.3</v>
      </c>
      <c r="BS40" s="1944">
        <v>0.3</v>
      </c>
      <c r="BT40" s="1944"/>
      <c r="BU40" s="1944"/>
      <c r="BV40" s="1944">
        <v>0.3</v>
      </c>
      <c r="BW40" s="1944">
        <v>0.3</v>
      </c>
      <c r="BX40" s="1944">
        <v>0.3</v>
      </c>
      <c r="BY40" s="2461"/>
      <c r="BZ40" s="1944">
        <v>0.3</v>
      </c>
      <c r="CA40" s="1944">
        <v>0.3</v>
      </c>
      <c r="CB40" s="1945">
        <v>0.3</v>
      </c>
      <c r="CC40" s="1944">
        <v>0.3</v>
      </c>
      <c r="CD40" s="1944">
        <v>0.3</v>
      </c>
      <c r="CE40" s="2272"/>
      <c r="CG40" s="1937">
        <v>3.2</v>
      </c>
      <c r="CH40" s="1941" t="s">
        <v>2534</v>
      </c>
      <c r="CI40" s="1942" t="s">
        <v>1851</v>
      </c>
      <c r="CJ40" s="2706">
        <f t="shared" si="19"/>
        <v>0.3</v>
      </c>
      <c r="CK40" s="2706">
        <f t="shared" si="20"/>
        <v>0.3</v>
      </c>
      <c r="CL40" s="2706">
        <f t="shared" si="21"/>
        <v>0</v>
      </c>
      <c r="CM40" s="2706">
        <f t="shared" si="22"/>
        <v>0</v>
      </c>
      <c r="CN40" s="2706">
        <f t="shared" si="23"/>
        <v>0.3</v>
      </c>
      <c r="CO40" s="2706">
        <f t="shared" si="24"/>
        <v>0.3</v>
      </c>
      <c r="CP40" s="2706">
        <f t="shared" si="25"/>
        <v>0.3</v>
      </c>
      <c r="CQ40" s="2706">
        <f t="shared" si="25"/>
        <v>0</v>
      </c>
      <c r="CR40" s="2706">
        <f t="shared" si="27"/>
        <v>0.3</v>
      </c>
      <c r="CS40" s="2706">
        <f t="shared" si="28"/>
        <v>0.3</v>
      </c>
      <c r="CT40" s="2708">
        <f t="shared" si="13"/>
        <v>0.3</v>
      </c>
      <c r="CU40" s="2706">
        <f t="shared" si="14"/>
        <v>0.3</v>
      </c>
      <c r="CV40" s="2706">
        <f t="shared" si="15"/>
        <v>0.3</v>
      </c>
      <c r="CX40" s="1937">
        <v>3.2</v>
      </c>
      <c r="CY40" s="1941" t="s">
        <v>2534</v>
      </c>
      <c r="CZ40" s="1942" t="s">
        <v>1851</v>
      </c>
      <c r="DA40" s="2695">
        <f t="shared" si="29"/>
        <v>0.3</v>
      </c>
      <c r="DB40" s="2695"/>
      <c r="DC40" s="2695"/>
      <c r="DD40" s="2695"/>
      <c r="DE40" s="2695"/>
      <c r="DF40" s="2695"/>
      <c r="DG40" s="2695"/>
      <c r="DH40" s="2695"/>
      <c r="DI40" s="2695"/>
      <c r="DJ40" s="2695"/>
      <c r="DK40" s="2905"/>
      <c r="DL40" s="2695"/>
      <c r="DM40" s="2695"/>
    </row>
    <row r="41" spans="2:117" hidden="1">
      <c r="B41" s="1916" t="str">
        <f t="shared" si="0"/>
        <v>3.2.1</v>
      </c>
      <c r="C41" s="1938">
        <f>R41</f>
        <v>0</v>
      </c>
      <c r="D41" s="1926" t="e">
        <f t="shared" ref="D41:E43" si="63">IF(I$40&gt;0,G41/I$40,0)</f>
        <v>#DIV/0!</v>
      </c>
      <c r="E41" s="1936" t="e">
        <f t="shared" si="63"/>
        <v>#DIV/0!</v>
      </c>
      <c r="G41" s="1936" t="e">
        <f t="shared" si="2"/>
        <v>#DIV/0!</v>
      </c>
      <c r="H41" s="1936" t="e">
        <f t="shared" si="3"/>
        <v>#DIV/0!</v>
      </c>
      <c r="I41" s="1936"/>
      <c r="J41" s="1936"/>
      <c r="K41" s="1936">
        <f>IF(スコア!O41=0,0,1)</f>
        <v>0</v>
      </c>
      <c r="L41" s="1936">
        <f>IF(スコア!R41=0,0,1)</f>
        <v>0</v>
      </c>
      <c r="M41" s="1936" t="e">
        <f t="shared" si="4"/>
        <v>#DIV/0!</v>
      </c>
      <c r="N41" s="1936" t="e">
        <f t="shared" si="5"/>
        <v>#DIV/0!</v>
      </c>
      <c r="P41" s="1937" t="str">
        <f t="shared" si="6"/>
        <v>3.2.1</v>
      </c>
      <c r="Q41" s="1937" t="str">
        <f t="shared" si="7"/>
        <v xml:space="preserve"> Q1 3.2</v>
      </c>
      <c r="R41" s="1938">
        <f t="shared" si="8"/>
        <v>0</v>
      </c>
      <c r="S41" s="2799">
        <f t="shared" si="16"/>
        <v>0</v>
      </c>
      <c r="T41" s="2799">
        <f t="shared" si="32"/>
        <v>0</v>
      </c>
      <c r="U41" s="2799">
        <f t="shared" si="33"/>
        <v>0</v>
      </c>
      <c r="V41" s="2799">
        <f t="shared" si="34"/>
        <v>0</v>
      </c>
      <c r="W41" s="2799">
        <f t="shared" si="35"/>
        <v>0</v>
      </c>
      <c r="X41" s="2799">
        <f t="shared" si="36"/>
        <v>0</v>
      </c>
      <c r="Y41" s="2799">
        <f t="shared" si="37"/>
        <v>0</v>
      </c>
      <c r="Z41" s="2803">
        <f t="shared" si="38"/>
        <v>0</v>
      </c>
      <c r="AA41" s="2799">
        <f t="shared" si="17"/>
        <v>0</v>
      </c>
      <c r="AB41" s="2799">
        <f t="shared" si="10"/>
        <v>0</v>
      </c>
      <c r="AC41" s="2800">
        <f t="shared" si="11"/>
        <v>0</v>
      </c>
      <c r="AD41" s="2799">
        <f t="shared" si="12"/>
        <v>0</v>
      </c>
      <c r="AE41" s="2799">
        <f t="shared" si="18"/>
        <v>0</v>
      </c>
      <c r="AG41" s="1937" t="s">
        <v>1143</v>
      </c>
      <c r="AH41" s="1941" t="s">
        <v>2539</v>
      </c>
      <c r="AI41" s="1942" t="s">
        <v>2540</v>
      </c>
      <c r="AJ41" s="1949">
        <v>0.4</v>
      </c>
      <c r="AK41" s="1949">
        <v>0.4</v>
      </c>
      <c r="AL41" s="1949"/>
      <c r="AM41" s="1949"/>
      <c r="AN41" s="1949">
        <v>0.4</v>
      </c>
      <c r="AO41" s="1949">
        <v>0.4</v>
      </c>
      <c r="AP41" s="1949">
        <v>0.4</v>
      </c>
      <c r="AQ41" s="1956"/>
      <c r="AR41" s="1949">
        <v>0.4</v>
      </c>
      <c r="AS41" s="1958">
        <v>0.3</v>
      </c>
      <c r="AT41" s="1945">
        <v>0.4</v>
      </c>
      <c r="AU41" s="1944">
        <v>0.4</v>
      </c>
      <c r="AV41" s="1944">
        <v>0.4</v>
      </c>
      <c r="AX41" s="1937" t="s">
        <v>1143</v>
      </c>
      <c r="AY41" s="1941" t="s">
        <v>2539</v>
      </c>
      <c r="AZ41" s="1942" t="s">
        <v>2540</v>
      </c>
      <c r="BA41" s="1944"/>
      <c r="BB41" s="1944"/>
      <c r="BC41" s="1944"/>
      <c r="BD41" s="1944"/>
      <c r="BE41" s="1944"/>
      <c r="BF41" s="1944"/>
      <c r="BG41" s="1944"/>
      <c r="BH41" s="1946"/>
      <c r="BI41" s="1944"/>
      <c r="BJ41" s="1944"/>
      <c r="BK41" s="1945"/>
      <c r="BL41" s="1944"/>
      <c r="BM41" s="1944"/>
      <c r="BO41" s="1937" t="s">
        <v>1143</v>
      </c>
      <c r="BP41" s="1941" t="s">
        <v>2539</v>
      </c>
      <c r="BQ41" s="1942"/>
      <c r="BR41" s="2925"/>
      <c r="BS41" s="2925"/>
      <c r="BT41" s="2925"/>
      <c r="BU41" s="2925"/>
      <c r="BV41" s="2925"/>
      <c r="BW41" s="2925"/>
      <c r="BX41" s="2925"/>
      <c r="BY41" s="3024"/>
      <c r="BZ41" s="2925"/>
      <c r="CA41" s="2925"/>
      <c r="CB41" s="2925"/>
      <c r="CC41" s="2925"/>
      <c r="CD41" s="2925"/>
      <c r="CE41" s="2272"/>
      <c r="CG41" s="1937" t="s">
        <v>1143</v>
      </c>
      <c r="CH41" s="1941" t="s">
        <v>2539</v>
      </c>
      <c r="CI41" s="1942" t="s">
        <v>2540</v>
      </c>
      <c r="CJ41" s="2706">
        <f t="shared" si="19"/>
        <v>0</v>
      </c>
      <c r="CK41" s="2706">
        <f t="shared" si="20"/>
        <v>0</v>
      </c>
      <c r="CL41" s="2706">
        <f t="shared" si="21"/>
        <v>0</v>
      </c>
      <c r="CM41" s="2706">
        <f t="shared" si="22"/>
        <v>0</v>
      </c>
      <c r="CN41" s="2706">
        <f t="shared" si="23"/>
        <v>0</v>
      </c>
      <c r="CO41" s="2706">
        <f t="shared" si="24"/>
        <v>0</v>
      </c>
      <c r="CP41" s="2706">
        <f t="shared" si="25"/>
        <v>0</v>
      </c>
      <c r="CQ41" s="2706">
        <f t="shared" si="25"/>
        <v>0</v>
      </c>
      <c r="CR41" s="2706">
        <f t="shared" si="27"/>
        <v>0</v>
      </c>
      <c r="CS41" s="2706">
        <f t="shared" si="28"/>
        <v>0</v>
      </c>
      <c r="CT41" s="2708">
        <f t="shared" si="13"/>
        <v>0</v>
      </c>
      <c r="CU41" s="2706">
        <f t="shared" si="14"/>
        <v>0</v>
      </c>
      <c r="CV41" s="2706">
        <f t="shared" si="15"/>
        <v>0</v>
      </c>
      <c r="CX41" s="1937" t="s">
        <v>1143</v>
      </c>
      <c r="CY41" s="1941" t="s">
        <v>2539</v>
      </c>
      <c r="CZ41" s="1942" t="s">
        <v>2540</v>
      </c>
      <c r="DA41" s="2924">
        <v>0</v>
      </c>
      <c r="DB41" s="2695"/>
      <c r="DC41" s="2695"/>
      <c r="DD41" s="2695"/>
      <c r="DE41" s="2695"/>
      <c r="DF41" s="2695"/>
      <c r="DG41" s="2695"/>
      <c r="DH41" s="2695"/>
      <c r="DI41" s="2695"/>
      <c r="DJ41" s="2695"/>
      <c r="DK41" s="2905"/>
      <c r="DL41" s="2695"/>
      <c r="DM41" s="2695"/>
    </row>
    <row r="42" spans="2:117">
      <c r="B42" s="1916" t="str">
        <f t="shared" si="0"/>
        <v>3.2.2</v>
      </c>
      <c r="C42" s="1938" t="str">
        <f t="shared" si="1"/>
        <v>昼光制御</v>
      </c>
      <c r="D42" s="1926" t="e">
        <f t="shared" si="63"/>
        <v>#DIV/0!</v>
      </c>
      <c r="E42" s="1936" t="e">
        <f t="shared" si="63"/>
        <v>#DIV/0!</v>
      </c>
      <c r="G42" s="1936" t="e">
        <f t="shared" ref="G42:G75" si="64">K42*M42</f>
        <v>#DIV/0!</v>
      </c>
      <c r="H42" s="1936" t="e">
        <f t="shared" ref="H42:H75" si="65">L42*N42</f>
        <v>#DIV/0!</v>
      </c>
      <c r="I42" s="1936"/>
      <c r="J42" s="1936"/>
      <c r="K42" s="1936">
        <f>IF(スコア!O42=0,0,1)</f>
        <v>1</v>
      </c>
      <c r="L42" s="1936">
        <f>IF(スコア!R42=0,0,1)</f>
        <v>1</v>
      </c>
      <c r="M42" s="1936" t="e">
        <f t="shared" ref="M42:M75" si="66">SUMPRODUCT($S$7:$AB$7,S42:AB42)</f>
        <v>#DIV/0!</v>
      </c>
      <c r="N42" s="1936" t="e">
        <f t="shared" ref="N42:N75" si="67">(AC$7*AC42)+(AD$7*AD42)+(AE$7*AE42)</f>
        <v>#DIV/0!</v>
      </c>
      <c r="P42" s="1937" t="str">
        <f t="shared" si="6"/>
        <v>3.2.2</v>
      </c>
      <c r="Q42" s="1937" t="str">
        <f t="shared" si="7"/>
        <v xml:space="preserve"> Q1 3.2</v>
      </c>
      <c r="R42" s="1938" t="str">
        <f t="shared" si="8"/>
        <v>昼光制御</v>
      </c>
      <c r="S42" s="2799">
        <f t="shared" si="16"/>
        <v>1</v>
      </c>
      <c r="T42" s="2799">
        <f t="shared" si="32"/>
        <v>1</v>
      </c>
      <c r="U42" s="2799">
        <f t="shared" si="33"/>
        <v>0</v>
      </c>
      <c r="V42" s="2799">
        <f t="shared" si="34"/>
        <v>0</v>
      </c>
      <c r="W42" s="2799">
        <f t="shared" si="35"/>
        <v>1</v>
      </c>
      <c r="X42" s="2799">
        <f t="shared" si="36"/>
        <v>1</v>
      </c>
      <c r="Y42" s="2799">
        <f t="shared" si="37"/>
        <v>1</v>
      </c>
      <c r="Z42" s="2803">
        <f t="shared" si="38"/>
        <v>0</v>
      </c>
      <c r="AA42" s="2799">
        <f t="shared" si="17"/>
        <v>1</v>
      </c>
      <c r="AB42" s="2799">
        <f t="shared" si="10"/>
        <v>1</v>
      </c>
      <c r="AC42" s="2800">
        <f t="shared" si="11"/>
        <v>1</v>
      </c>
      <c r="AD42" s="2799">
        <f t="shared" si="12"/>
        <v>1</v>
      </c>
      <c r="AE42" s="2799">
        <f t="shared" si="18"/>
        <v>1</v>
      </c>
      <c r="AG42" s="1937" t="s">
        <v>1144</v>
      </c>
      <c r="AH42" s="1941" t="s">
        <v>2539</v>
      </c>
      <c r="AI42" s="1942" t="s">
        <v>2541</v>
      </c>
      <c r="AJ42" s="1939">
        <v>0.6</v>
      </c>
      <c r="AK42" s="1939">
        <v>0.6</v>
      </c>
      <c r="AL42" s="1939"/>
      <c r="AM42" s="1939"/>
      <c r="AN42" s="1939">
        <v>0.6</v>
      </c>
      <c r="AO42" s="1939">
        <v>0.6</v>
      </c>
      <c r="AP42" s="1939">
        <v>0.6</v>
      </c>
      <c r="AQ42" s="1955"/>
      <c r="AR42" s="1939">
        <v>0.6</v>
      </c>
      <c r="AS42" s="1958">
        <v>0.4</v>
      </c>
      <c r="AT42" s="1945">
        <v>0.6</v>
      </c>
      <c r="AU42" s="1944">
        <v>0.6</v>
      </c>
      <c r="AV42" s="1944">
        <v>0.6</v>
      </c>
      <c r="AX42" s="1937" t="s">
        <v>1144</v>
      </c>
      <c r="AY42" s="1941" t="s">
        <v>2539</v>
      </c>
      <c r="AZ42" s="1942" t="s">
        <v>2541</v>
      </c>
      <c r="BA42" s="1944">
        <v>1</v>
      </c>
      <c r="BB42" s="1944">
        <v>1</v>
      </c>
      <c r="BC42" s="1944"/>
      <c r="BD42" s="1944"/>
      <c r="BE42" s="1944">
        <v>1</v>
      </c>
      <c r="BF42" s="1944">
        <v>1</v>
      </c>
      <c r="BG42" s="1944">
        <v>1</v>
      </c>
      <c r="BH42" s="1946"/>
      <c r="BI42" s="1944">
        <v>1</v>
      </c>
      <c r="BJ42" s="1944">
        <v>1</v>
      </c>
      <c r="BK42" s="1945">
        <v>1</v>
      </c>
      <c r="BL42" s="1944">
        <v>1</v>
      </c>
      <c r="BM42" s="1944">
        <v>1</v>
      </c>
      <c r="BO42" s="1937" t="s">
        <v>1144</v>
      </c>
      <c r="BP42" s="1941" t="s">
        <v>2539</v>
      </c>
      <c r="BQ42" s="1942" t="s">
        <v>2541</v>
      </c>
      <c r="BR42" s="2925">
        <v>1</v>
      </c>
      <c r="BS42" s="2925">
        <v>1</v>
      </c>
      <c r="BT42" s="2925"/>
      <c r="BU42" s="2925"/>
      <c r="BV42" s="2925">
        <v>1</v>
      </c>
      <c r="BW42" s="2925">
        <v>1</v>
      </c>
      <c r="BX42" s="2925">
        <v>1</v>
      </c>
      <c r="BY42" s="3024"/>
      <c r="BZ42" s="2925">
        <v>1</v>
      </c>
      <c r="CA42" s="2925">
        <v>1</v>
      </c>
      <c r="CB42" s="2925">
        <v>1</v>
      </c>
      <c r="CC42" s="2925">
        <v>1</v>
      </c>
      <c r="CD42" s="2925">
        <v>1</v>
      </c>
      <c r="CE42" s="2272"/>
      <c r="CG42" s="1937" t="s">
        <v>1144</v>
      </c>
      <c r="CH42" s="1941" t="s">
        <v>2539</v>
      </c>
      <c r="CI42" s="1942" t="s">
        <v>2541</v>
      </c>
      <c r="CJ42" s="2706">
        <f t="shared" si="19"/>
        <v>1</v>
      </c>
      <c r="CK42" s="2706">
        <f t="shared" si="20"/>
        <v>1</v>
      </c>
      <c r="CL42" s="2706">
        <f t="shared" si="21"/>
        <v>0</v>
      </c>
      <c r="CM42" s="2706">
        <f t="shared" si="22"/>
        <v>0</v>
      </c>
      <c r="CN42" s="2706">
        <f t="shared" si="23"/>
        <v>1</v>
      </c>
      <c r="CO42" s="2706">
        <f t="shared" si="24"/>
        <v>1</v>
      </c>
      <c r="CP42" s="2706">
        <f t="shared" si="25"/>
        <v>1</v>
      </c>
      <c r="CQ42" s="2706">
        <f t="shared" si="25"/>
        <v>0</v>
      </c>
      <c r="CR42" s="2706">
        <f t="shared" si="27"/>
        <v>1</v>
      </c>
      <c r="CS42" s="2706">
        <f t="shared" si="28"/>
        <v>1</v>
      </c>
      <c r="CT42" s="2708">
        <f t="shared" si="13"/>
        <v>1</v>
      </c>
      <c r="CU42" s="2706">
        <f t="shared" si="14"/>
        <v>1</v>
      </c>
      <c r="CV42" s="2706">
        <f t="shared" si="15"/>
        <v>1</v>
      </c>
      <c r="CX42" s="1937" t="s">
        <v>1144</v>
      </c>
      <c r="CY42" s="1941" t="s">
        <v>2539</v>
      </c>
      <c r="CZ42" s="1942" t="s">
        <v>2541</v>
      </c>
      <c r="DA42" s="2924">
        <v>1</v>
      </c>
      <c r="DB42" s="2695"/>
      <c r="DC42" s="2695"/>
      <c r="DD42" s="2695"/>
      <c r="DE42" s="2695"/>
      <c r="DF42" s="2695"/>
      <c r="DG42" s="2695"/>
      <c r="DH42" s="2695"/>
      <c r="DI42" s="2695"/>
      <c r="DJ42" s="2695"/>
      <c r="DK42" s="2905"/>
      <c r="DL42" s="2695"/>
      <c r="DM42" s="2695"/>
    </row>
    <row r="43" spans="2:117" ht="13.5" hidden="1" customHeight="1">
      <c r="B43" s="1916" t="s">
        <v>1145</v>
      </c>
      <c r="C43" s="1962">
        <f t="shared" si="1"/>
        <v>0</v>
      </c>
      <c r="D43" s="1959" t="e">
        <f>IF(I$40&gt;0,G43/I$40,0)</f>
        <v>#DIV/0!</v>
      </c>
      <c r="E43" s="1960" t="e">
        <f t="shared" si="63"/>
        <v>#DIV/0!</v>
      </c>
      <c r="G43" s="1960" t="e">
        <f t="shared" si="64"/>
        <v>#DIV/0!</v>
      </c>
      <c r="H43" s="1960" t="e">
        <f t="shared" si="65"/>
        <v>#DIV/0!</v>
      </c>
      <c r="I43" s="1960"/>
      <c r="J43" s="1960"/>
      <c r="K43" s="1960">
        <f>IF(スコア!O43=0,0,1)</f>
        <v>0</v>
      </c>
      <c r="L43" s="1960">
        <f>IF(スコア!R43=0,0,1)</f>
        <v>0</v>
      </c>
      <c r="M43" s="1960" t="e">
        <f t="shared" si="66"/>
        <v>#DIV/0!</v>
      </c>
      <c r="N43" s="1960" t="e">
        <f t="shared" si="67"/>
        <v>#DIV/0!</v>
      </c>
      <c r="P43" s="1961" t="str">
        <f t="shared" si="6"/>
        <v>3.2.3</v>
      </c>
      <c r="Q43" s="1961" t="str">
        <f t="shared" si="7"/>
        <v xml:space="preserve"> Q1 3.3</v>
      </c>
      <c r="R43" s="1962">
        <f t="shared" si="8"/>
        <v>0</v>
      </c>
      <c r="S43" s="2805">
        <f t="shared" si="16"/>
        <v>0</v>
      </c>
      <c r="T43" s="2805">
        <f t="shared" si="32"/>
        <v>0</v>
      </c>
      <c r="U43" s="2805">
        <f t="shared" si="33"/>
        <v>0</v>
      </c>
      <c r="V43" s="2805">
        <f t="shared" si="34"/>
        <v>0</v>
      </c>
      <c r="W43" s="2805">
        <f t="shared" si="35"/>
        <v>0</v>
      </c>
      <c r="X43" s="2805">
        <f t="shared" si="36"/>
        <v>0</v>
      </c>
      <c r="Y43" s="2805">
        <f t="shared" si="37"/>
        <v>0</v>
      </c>
      <c r="Z43" s="2806">
        <f t="shared" si="38"/>
        <v>0</v>
      </c>
      <c r="AA43" s="2805">
        <f t="shared" si="17"/>
        <v>0</v>
      </c>
      <c r="AB43" s="2805">
        <f t="shared" si="10"/>
        <v>0</v>
      </c>
      <c r="AC43" s="2807">
        <f t="shared" si="11"/>
        <v>0</v>
      </c>
      <c r="AD43" s="2805">
        <f t="shared" si="12"/>
        <v>0</v>
      </c>
      <c r="AE43" s="2805">
        <f t="shared" si="18"/>
        <v>0</v>
      </c>
      <c r="AG43" s="1937" t="s">
        <v>2542</v>
      </c>
      <c r="AH43" s="1941" t="s">
        <v>2543</v>
      </c>
      <c r="AI43" s="1942" t="s">
        <v>989</v>
      </c>
      <c r="AJ43" s="1939"/>
      <c r="AK43" s="1939"/>
      <c r="AL43" s="1939"/>
      <c r="AM43" s="1939"/>
      <c r="AN43" s="1939"/>
      <c r="AO43" s="1939"/>
      <c r="AP43" s="1939"/>
      <c r="AQ43" s="1955"/>
      <c r="AR43" s="1939"/>
      <c r="AS43" s="1958">
        <v>0.3</v>
      </c>
      <c r="AT43" s="1945"/>
      <c r="AU43" s="1944"/>
      <c r="AV43" s="1944"/>
      <c r="AX43" s="1961" t="s">
        <v>1146</v>
      </c>
      <c r="AY43" s="1964" t="s">
        <v>2543</v>
      </c>
      <c r="AZ43" s="1965" t="s">
        <v>989</v>
      </c>
      <c r="BA43" s="1966"/>
      <c r="BB43" s="1966"/>
      <c r="BC43" s="1966"/>
      <c r="BD43" s="1966"/>
      <c r="BE43" s="1966"/>
      <c r="BF43" s="1966"/>
      <c r="BG43" s="1966"/>
      <c r="BH43" s="1967"/>
      <c r="BI43" s="1966"/>
      <c r="BJ43" s="1966"/>
      <c r="BK43" s="1968"/>
      <c r="BL43" s="1966"/>
      <c r="BM43" s="1966"/>
      <c r="BO43" s="1961" t="s">
        <v>1146</v>
      </c>
      <c r="BP43" s="1964" t="s">
        <v>2543</v>
      </c>
      <c r="BQ43" s="1965"/>
      <c r="BR43" s="1969"/>
      <c r="BS43" s="1969"/>
      <c r="BT43" s="1969"/>
      <c r="BU43" s="1969"/>
      <c r="BV43" s="1969"/>
      <c r="BW43" s="1969"/>
      <c r="BX43" s="1969"/>
      <c r="BY43" s="2459"/>
      <c r="BZ43" s="1969"/>
      <c r="CA43" s="1969"/>
      <c r="CB43" s="1971"/>
      <c r="CC43" s="1969"/>
      <c r="CD43" s="1969"/>
      <c r="CE43" s="2273"/>
      <c r="CG43" s="1961" t="s">
        <v>1145</v>
      </c>
      <c r="CH43" s="1964" t="s">
        <v>2543</v>
      </c>
      <c r="CI43" s="1965"/>
      <c r="CJ43" s="2713"/>
      <c r="CK43" s="2713"/>
      <c r="CL43" s="2713"/>
      <c r="CM43" s="2713"/>
      <c r="CN43" s="2713"/>
      <c r="CO43" s="2713"/>
      <c r="CP43" s="2713"/>
      <c r="CQ43" s="2714"/>
      <c r="CR43" s="2713"/>
      <c r="CS43" s="2713"/>
      <c r="CT43" s="2715"/>
      <c r="CU43" s="2713"/>
      <c r="CV43" s="2713"/>
      <c r="CX43" s="1961"/>
      <c r="CY43" s="1964"/>
      <c r="CZ43" s="1965"/>
      <c r="DA43" s="2909"/>
      <c r="DB43" s="2909"/>
      <c r="DC43" s="2909"/>
      <c r="DD43" s="2909"/>
      <c r="DE43" s="2909"/>
      <c r="DF43" s="2909"/>
      <c r="DG43" s="2909"/>
      <c r="DH43" s="2910"/>
      <c r="DI43" s="2909"/>
      <c r="DJ43" s="2909"/>
      <c r="DK43" s="2911"/>
      <c r="DL43" s="2909"/>
      <c r="DM43" s="2909"/>
    </row>
    <row r="44" spans="2:117">
      <c r="B44" s="1916">
        <f t="shared" ref="B44:B77" si="68">P44</f>
        <v>3.3</v>
      </c>
      <c r="C44" s="1938" t="str">
        <f t="shared" si="1"/>
        <v>照度</v>
      </c>
      <c r="D44" s="1935" t="e">
        <f>IF(I$35=0,0,G44/I$35)</f>
        <v>#DIV/0!</v>
      </c>
      <c r="E44" s="1936" t="e">
        <f>IF(J$35=0,0,H44/J$35)</f>
        <v>#DIV/0!</v>
      </c>
      <c r="G44" s="1936" t="e">
        <f t="shared" si="64"/>
        <v>#DIV/0!</v>
      </c>
      <c r="H44" s="1936" t="e">
        <f t="shared" si="65"/>
        <v>#DIV/0!</v>
      </c>
      <c r="I44" s="1936" t="e">
        <f>SUM(G45:G46)</f>
        <v>#DIV/0!</v>
      </c>
      <c r="J44" s="1936" t="e">
        <f>SUM(H45:H46)</f>
        <v>#DIV/0!</v>
      </c>
      <c r="K44" s="1936">
        <f>IF(スコア!O44=0,0,1)</f>
        <v>1</v>
      </c>
      <c r="L44" s="1936">
        <f>IF(スコア!R44=0,0,1)</f>
        <v>1</v>
      </c>
      <c r="M44" s="1936" t="e">
        <f t="shared" si="66"/>
        <v>#DIV/0!</v>
      </c>
      <c r="N44" s="1936" t="e">
        <f t="shared" si="67"/>
        <v>#DIV/0!</v>
      </c>
      <c r="P44" s="1937">
        <f t="shared" si="6"/>
        <v>3.3</v>
      </c>
      <c r="Q44" s="1937" t="str">
        <f t="shared" si="7"/>
        <v xml:space="preserve"> Q1 3</v>
      </c>
      <c r="R44" s="1938" t="str">
        <f t="shared" si="8"/>
        <v>照度</v>
      </c>
      <c r="S44" s="2799">
        <f t="shared" si="16"/>
        <v>0.15</v>
      </c>
      <c r="T44" s="2799">
        <f t="shared" si="32"/>
        <v>0.15</v>
      </c>
      <c r="U44" s="2799">
        <f t="shared" si="33"/>
        <v>0</v>
      </c>
      <c r="V44" s="2799">
        <f t="shared" si="34"/>
        <v>0</v>
      </c>
      <c r="W44" s="2799">
        <f t="shared" si="35"/>
        <v>0.15</v>
      </c>
      <c r="X44" s="2799">
        <f t="shared" si="36"/>
        <v>0.15</v>
      </c>
      <c r="Y44" s="2799">
        <f t="shared" si="37"/>
        <v>0.15</v>
      </c>
      <c r="Z44" s="2803">
        <f t="shared" si="38"/>
        <v>0.2</v>
      </c>
      <c r="AA44" s="2799">
        <f t="shared" si="17"/>
        <v>0.15</v>
      </c>
      <c r="AB44" s="2799">
        <f t="shared" si="10"/>
        <v>0.15</v>
      </c>
      <c r="AC44" s="2800">
        <f t="shared" si="11"/>
        <v>0.15</v>
      </c>
      <c r="AD44" s="2799">
        <f t="shared" si="12"/>
        <v>0.15</v>
      </c>
      <c r="AE44" s="2799">
        <f t="shared" si="18"/>
        <v>0.15</v>
      </c>
      <c r="AG44" s="1937">
        <v>3.3</v>
      </c>
      <c r="AH44" s="1941" t="s">
        <v>2534</v>
      </c>
      <c r="AI44" s="1938" t="s">
        <v>990</v>
      </c>
      <c r="AJ44" s="1939">
        <v>0.15</v>
      </c>
      <c r="AK44" s="1939">
        <v>0.15</v>
      </c>
      <c r="AL44" s="1939"/>
      <c r="AM44" s="1939"/>
      <c r="AN44" s="1939">
        <v>0.15</v>
      </c>
      <c r="AO44" s="1939">
        <v>0.15</v>
      </c>
      <c r="AP44" s="1939">
        <v>0.15</v>
      </c>
      <c r="AQ44" s="1955"/>
      <c r="AR44" s="1939">
        <v>0.15</v>
      </c>
      <c r="AS44" s="1944">
        <v>0.15</v>
      </c>
      <c r="AT44" s="1945">
        <v>0.15</v>
      </c>
      <c r="AU44" s="1944">
        <v>0.15</v>
      </c>
      <c r="AV44" s="1944">
        <v>0.15</v>
      </c>
      <c r="AX44" s="1937">
        <v>3.3</v>
      </c>
      <c r="AY44" s="1941" t="s">
        <v>2534</v>
      </c>
      <c r="AZ44" s="1938" t="s">
        <v>990</v>
      </c>
      <c r="BA44" s="1944">
        <v>0.15</v>
      </c>
      <c r="BB44" s="1944">
        <v>0.15</v>
      </c>
      <c r="BC44" s="1944"/>
      <c r="BD44" s="1944"/>
      <c r="BE44" s="1944">
        <v>0.15</v>
      </c>
      <c r="BF44" s="1944">
        <v>0.15</v>
      </c>
      <c r="BG44" s="1944">
        <v>0.15</v>
      </c>
      <c r="BH44" s="1946"/>
      <c r="BI44" s="1944">
        <v>0.15</v>
      </c>
      <c r="BJ44" s="1944">
        <v>0.15</v>
      </c>
      <c r="BK44" s="1945">
        <v>0.15</v>
      </c>
      <c r="BL44" s="1944">
        <v>0.15</v>
      </c>
      <c r="BM44" s="1944">
        <v>0.15</v>
      </c>
      <c r="BO44" s="1937">
        <v>3.3</v>
      </c>
      <c r="BP44" s="1941" t="s">
        <v>2534</v>
      </c>
      <c r="BQ44" s="1938" t="s">
        <v>990</v>
      </c>
      <c r="BR44" s="1944">
        <v>0.15</v>
      </c>
      <c r="BS44" s="1944">
        <v>0.15</v>
      </c>
      <c r="BT44" s="1944"/>
      <c r="BU44" s="1944"/>
      <c r="BV44" s="1944">
        <v>0.15</v>
      </c>
      <c r="BW44" s="1944">
        <v>0.15</v>
      </c>
      <c r="BX44" s="1944">
        <v>0.15</v>
      </c>
      <c r="BY44" s="2460">
        <v>0.2</v>
      </c>
      <c r="BZ44" s="1944">
        <v>0.15</v>
      </c>
      <c r="CA44" s="1944">
        <v>0.15</v>
      </c>
      <c r="CB44" s="1945">
        <v>0.15</v>
      </c>
      <c r="CC44" s="1944">
        <v>0.15</v>
      </c>
      <c r="CD44" s="1944">
        <v>0.15</v>
      </c>
      <c r="CE44" s="2272"/>
      <c r="CG44" s="1937">
        <v>3.3</v>
      </c>
      <c r="CH44" s="1941" t="s">
        <v>2534</v>
      </c>
      <c r="CI44" s="1938" t="s">
        <v>990</v>
      </c>
      <c r="CJ44" s="2706">
        <f t="shared" si="19"/>
        <v>0.15</v>
      </c>
      <c r="CK44" s="2706">
        <f t="shared" si="20"/>
        <v>0.15</v>
      </c>
      <c r="CL44" s="2706">
        <f t="shared" si="21"/>
        <v>0</v>
      </c>
      <c r="CM44" s="2706">
        <f t="shared" si="22"/>
        <v>0</v>
      </c>
      <c r="CN44" s="2706">
        <f t="shared" si="23"/>
        <v>0.15</v>
      </c>
      <c r="CO44" s="2706">
        <f t="shared" si="24"/>
        <v>0.15</v>
      </c>
      <c r="CP44" s="2706">
        <f t="shared" si="25"/>
        <v>0.15</v>
      </c>
      <c r="CQ44" s="2706">
        <f t="shared" si="25"/>
        <v>0.2</v>
      </c>
      <c r="CR44" s="2706">
        <f t="shared" si="27"/>
        <v>0.15</v>
      </c>
      <c r="CS44" s="2706">
        <f t="shared" si="28"/>
        <v>0.15</v>
      </c>
      <c r="CT44" s="2708">
        <f t="shared" si="13"/>
        <v>0.15</v>
      </c>
      <c r="CU44" s="2706">
        <f t="shared" si="14"/>
        <v>0.15</v>
      </c>
      <c r="CV44" s="2706">
        <f t="shared" si="15"/>
        <v>0.15</v>
      </c>
      <c r="CX44" s="1937">
        <v>3.3</v>
      </c>
      <c r="CY44" s="1941" t="s">
        <v>2534</v>
      </c>
      <c r="CZ44" s="1938" t="s">
        <v>990</v>
      </c>
      <c r="DA44" s="2695">
        <f t="shared" si="29"/>
        <v>0.15</v>
      </c>
      <c r="DB44" s="2695"/>
      <c r="DC44" s="2695"/>
      <c r="DD44" s="2695"/>
      <c r="DE44" s="2695"/>
      <c r="DF44" s="2695"/>
      <c r="DG44" s="2695"/>
      <c r="DH44" s="2695"/>
      <c r="DI44" s="2695"/>
      <c r="DJ44" s="2695"/>
      <c r="DK44" s="2905"/>
      <c r="DL44" s="2695"/>
      <c r="DM44" s="2695"/>
    </row>
    <row r="45" spans="2:117" ht="13.5" hidden="1" customHeight="1">
      <c r="B45" s="1916" t="str">
        <f t="shared" si="68"/>
        <v>3.3.1</v>
      </c>
      <c r="C45" s="1962" t="str">
        <f t="shared" si="1"/>
        <v>照度</v>
      </c>
      <c r="D45" s="1959" t="e">
        <f>IF(I$44&gt;0,G45/I$44,0)</f>
        <v>#DIV/0!</v>
      </c>
      <c r="E45" s="1960" t="e">
        <f>IF(J$44&gt;0,H45/J$44,0)</f>
        <v>#DIV/0!</v>
      </c>
      <c r="G45" s="1960" t="e">
        <f t="shared" si="64"/>
        <v>#DIV/0!</v>
      </c>
      <c r="H45" s="1960" t="e">
        <f t="shared" si="65"/>
        <v>#DIV/0!</v>
      </c>
      <c r="I45" s="1960"/>
      <c r="J45" s="1960"/>
      <c r="K45" s="1960">
        <f>IF(スコア!O45=0,0,1)</f>
        <v>0</v>
      </c>
      <c r="L45" s="1960">
        <f>IF(スコア!R45=0,0,1)</f>
        <v>0</v>
      </c>
      <c r="M45" s="1960" t="e">
        <f t="shared" si="66"/>
        <v>#DIV/0!</v>
      </c>
      <c r="N45" s="1960" t="e">
        <f t="shared" si="67"/>
        <v>#DIV/0!</v>
      </c>
      <c r="P45" s="1961" t="str">
        <f t="shared" si="6"/>
        <v>3.3.1</v>
      </c>
      <c r="Q45" s="1961" t="str">
        <f t="shared" si="7"/>
        <v xml:space="preserve"> Q1 3.3</v>
      </c>
      <c r="R45" s="1962" t="str">
        <f t="shared" si="8"/>
        <v>照度</v>
      </c>
      <c r="S45" s="2805">
        <f t="shared" si="16"/>
        <v>0</v>
      </c>
      <c r="T45" s="2805">
        <f t="shared" si="32"/>
        <v>0</v>
      </c>
      <c r="U45" s="2805">
        <f t="shared" si="33"/>
        <v>0</v>
      </c>
      <c r="V45" s="2805">
        <f t="shared" si="34"/>
        <v>0</v>
      </c>
      <c r="W45" s="2805">
        <f t="shared" si="35"/>
        <v>0</v>
      </c>
      <c r="X45" s="2805">
        <f t="shared" si="36"/>
        <v>0</v>
      </c>
      <c r="Y45" s="2805">
        <f t="shared" si="37"/>
        <v>0</v>
      </c>
      <c r="Z45" s="2806">
        <f t="shared" si="38"/>
        <v>0</v>
      </c>
      <c r="AA45" s="2805">
        <f t="shared" si="17"/>
        <v>0</v>
      </c>
      <c r="AB45" s="2805">
        <f t="shared" si="10"/>
        <v>0</v>
      </c>
      <c r="AC45" s="2807">
        <f t="shared" si="11"/>
        <v>0</v>
      </c>
      <c r="AD45" s="2805">
        <f t="shared" si="12"/>
        <v>0</v>
      </c>
      <c r="AE45" s="2805">
        <f t="shared" si="18"/>
        <v>0</v>
      </c>
      <c r="AG45" s="1961" t="s">
        <v>2110</v>
      </c>
      <c r="AH45" s="1964" t="s">
        <v>2543</v>
      </c>
      <c r="AI45" s="1965" t="s">
        <v>2111</v>
      </c>
      <c r="AJ45" s="1939"/>
      <c r="AK45" s="1939"/>
      <c r="AL45" s="1939"/>
      <c r="AM45" s="1939"/>
      <c r="AN45" s="1939"/>
      <c r="AO45" s="1939"/>
      <c r="AP45" s="1939"/>
      <c r="AQ45" s="1955"/>
      <c r="AR45" s="1939"/>
      <c r="AS45" s="1966"/>
      <c r="AT45" s="1968"/>
      <c r="AU45" s="1966"/>
      <c r="AV45" s="1966"/>
      <c r="AX45" s="1961" t="s">
        <v>2110</v>
      </c>
      <c r="AY45" s="1964" t="s">
        <v>2543</v>
      </c>
      <c r="AZ45" s="1965" t="s">
        <v>2111</v>
      </c>
      <c r="BA45" s="1966"/>
      <c r="BB45" s="1966"/>
      <c r="BC45" s="1966"/>
      <c r="BD45" s="1966"/>
      <c r="BE45" s="1966"/>
      <c r="BF45" s="1966"/>
      <c r="BG45" s="1966"/>
      <c r="BH45" s="1967"/>
      <c r="BI45" s="1966"/>
      <c r="BJ45" s="1966"/>
      <c r="BK45" s="1968"/>
      <c r="BL45" s="1966"/>
      <c r="BM45" s="1966"/>
      <c r="BO45" s="1961" t="s">
        <v>2110</v>
      </c>
      <c r="BP45" s="1964" t="s">
        <v>2543</v>
      </c>
      <c r="BQ45" s="1965" t="s">
        <v>2111</v>
      </c>
      <c r="BR45" s="1969"/>
      <c r="BS45" s="1969"/>
      <c r="BT45" s="1969"/>
      <c r="BU45" s="1969"/>
      <c r="BV45" s="1969"/>
      <c r="BW45" s="1969"/>
      <c r="BX45" s="1969"/>
      <c r="BY45" s="2462">
        <v>0</v>
      </c>
      <c r="BZ45" s="1969"/>
      <c r="CA45" s="1969"/>
      <c r="CB45" s="1971"/>
      <c r="CC45" s="1969"/>
      <c r="CD45" s="1969"/>
      <c r="CE45" s="2273"/>
      <c r="CG45" s="1961" t="s">
        <v>1395</v>
      </c>
      <c r="CH45" s="1964" t="s">
        <v>2543</v>
      </c>
      <c r="CI45" s="1965" t="s">
        <v>2111</v>
      </c>
      <c r="CJ45" s="2713">
        <f t="shared" si="19"/>
        <v>0</v>
      </c>
      <c r="CK45" s="2713">
        <f t="shared" si="20"/>
        <v>0</v>
      </c>
      <c r="CL45" s="2713">
        <f t="shared" si="21"/>
        <v>0</v>
      </c>
      <c r="CM45" s="2713">
        <f t="shared" si="22"/>
        <v>0</v>
      </c>
      <c r="CN45" s="2713">
        <f t="shared" si="23"/>
        <v>0</v>
      </c>
      <c r="CO45" s="2713">
        <f t="shared" si="24"/>
        <v>0</v>
      </c>
      <c r="CP45" s="2713">
        <f t="shared" si="25"/>
        <v>0</v>
      </c>
      <c r="CQ45" s="2713">
        <f t="shared" si="25"/>
        <v>0</v>
      </c>
      <c r="CR45" s="2713">
        <f t="shared" si="27"/>
        <v>0</v>
      </c>
      <c r="CS45" s="2713">
        <f t="shared" si="28"/>
        <v>0</v>
      </c>
      <c r="CT45" s="2715">
        <f t="shared" si="13"/>
        <v>0</v>
      </c>
      <c r="CU45" s="2713">
        <f t="shared" si="14"/>
        <v>0</v>
      </c>
      <c r="CV45" s="2713">
        <f t="shared" si="15"/>
        <v>0</v>
      </c>
      <c r="CX45" s="1961" t="s">
        <v>1395</v>
      </c>
      <c r="CY45" s="1964" t="s">
        <v>2543</v>
      </c>
      <c r="CZ45" s="1965" t="s">
        <v>2111</v>
      </c>
      <c r="DA45" s="2909">
        <f t="shared" si="29"/>
        <v>0</v>
      </c>
      <c r="DB45" s="2909"/>
      <c r="DC45" s="2909"/>
      <c r="DD45" s="2909"/>
      <c r="DE45" s="2909"/>
      <c r="DF45" s="2909"/>
      <c r="DG45" s="2909"/>
      <c r="DH45" s="2909"/>
      <c r="DI45" s="2909"/>
      <c r="DJ45" s="2909"/>
      <c r="DK45" s="2911"/>
      <c r="DL45" s="2909"/>
      <c r="DM45" s="2909"/>
    </row>
    <row r="46" spans="2:117" ht="13.5" hidden="1" customHeight="1">
      <c r="B46" s="1916" t="str">
        <f t="shared" si="68"/>
        <v>3.3.2</v>
      </c>
      <c r="C46" s="1962" t="str">
        <f t="shared" si="1"/>
        <v>照度均斉度</v>
      </c>
      <c r="D46" s="1959" t="e">
        <f>IF(I$44&gt;0,G46/I$44,0)</f>
        <v>#DIV/0!</v>
      </c>
      <c r="E46" s="1960" t="e">
        <f>IF(J$44&gt;0,H46/J$44,0)</f>
        <v>#DIV/0!</v>
      </c>
      <c r="G46" s="1960" t="e">
        <f t="shared" si="64"/>
        <v>#DIV/0!</v>
      </c>
      <c r="H46" s="1960" t="e">
        <f t="shared" si="65"/>
        <v>#DIV/0!</v>
      </c>
      <c r="I46" s="1960"/>
      <c r="J46" s="1960"/>
      <c r="K46" s="1960">
        <f>IF(スコア!O46=0,0,1)</f>
        <v>0</v>
      </c>
      <c r="L46" s="1960">
        <f>IF(スコア!R46=0,0,1)</f>
        <v>0</v>
      </c>
      <c r="M46" s="1960" t="e">
        <f t="shared" si="66"/>
        <v>#DIV/0!</v>
      </c>
      <c r="N46" s="1960" t="e">
        <f t="shared" si="67"/>
        <v>#DIV/0!</v>
      </c>
      <c r="P46" s="1961" t="str">
        <f t="shared" si="6"/>
        <v>3.3.2</v>
      </c>
      <c r="Q46" s="1961" t="str">
        <f t="shared" si="7"/>
        <v xml:space="preserve"> Q1 3.3</v>
      </c>
      <c r="R46" s="1962" t="str">
        <f t="shared" si="8"/>
        <v>照度均斉度</v>
      </c>
      <c r="S46" s="2805">
        <f t="shared" si="16"/>
        <v>0</v>
      </c>
      <c r="T46" s="2805">
        <f t="shared" si="32"/>
        <v>0</v>
      </c>
      <c r="U46" s="2805">
        <f t="shared" si="33"/>
        <v>0</v>
      </c>
      <c r="V46" s="2805">
        <f t="shared" si="34"/>
        <v>0</v>
      </c>
      <c r="W46" s="2805">
        <f t="shared" si="35"/>
        <v>0</v>
      </c>
      <c r="X46" s="2805">
        <f t="shared" si="36"/>
        <v>0</v>
      </c>
      <c r="Y46" s="2805">
        <f t="shared" si="37"/>
        <v>0</v>
      </c>
      <c r="Z46" s="2806">
        <f t="shared" si="38"/>
        <v>0</v>
      </c>
      <c r="AA46" s="2805">
        <f t="shared" si="17"/>
        <v>0</v>
      </c>
      <c r="AB46" s="2805">
        <f t="shared" si="10"/>
        <v>0</v>
      </c>
      <c r="AC46" s="2807">
        <f t="shared" si="11"/>
        <v>0</v>
      </c>
      <c r="AD46" s="2805">
        <f t="shared" si="12"/>
        <v>0</v>
      </c>
      <c r="AE46" s="2805">
        <f t="shared" si="18"/>
        <v>0</v>
      </c>
      <c r="AG46" s="1961" t="s">
        <v>2112</v>
      </c>
      <c r="AH46" s="1964" t="s">
        <v>2543</v>
      </c>
      <c r="AI46" s="1965" t="s">
        <v>2705</v>
      </c>
      <c r="AJ46" s="1949"/>
      <c r="AK46" s="1949"/>
      <c r="AL46" s="1949"/>
      <c r="AM46" s="1949"/>
      <c r="AN46" s="1949"/>
      <c r="AO46" s="1949"/>
      <c r="AP46" s="1949"/>
      <c r="AQ46" s="1956"/>
      <c r="AR46" s="1949"/>
      <c r="AS46" s="1966"/>
      <c r="AT46" s="1968"/>
      <c r="AU46" s="1966"/>
      <c r="AV46" s="1966"/>
      <c r="AX46" s="1961" t="s">
        <v>2112</v>
      </c>
      <c r="AY46" s="1964" t="s">
        <v>2543</v>
      </c>
      <c r="AZ46" s="1965" t="s">
        <v>2705</v>
      </c>
      <c r="BA46" s="1966"/>
      <c r="BB46" s="1966"/>
      <c r="BC46" s="1966"/>
      <c r="BD46" s="1966"/>
      <c r="BE46" s="1966"/>
      <c r="BF46" s="1966"/>
      <c r="BG46" s="1966"/>
      <c r="BH46" s="1967"/>
      <c r="BI46" s="1966"/>
      <c r="BJ46" s="1966"/>
      <c r="BK46" s="1968"/>
      <c r="BL46" s="1966"/>
      <c r="BM46" s="1966"/>
      <c r="BO46" s="1961" t="s">
        <v>2112</v>
      </c>
      <c r="BP46" s="1964" t="s">
        <v>2543</v>
      </c>
      <c r="BQ46" s="1965" t="s">
        <v>2705</v>
      </c>
      <c r="BR46" s="1969"/>
      <c r="BS46" s="1969"/>
      <c r="BT46" s="1969"/>
      <c r="BU46" s="1969"/>
      <c r="BV46" s="1969"/>
      <c r="BW46" s="1969"/>
      <c r="BX46" s="1969"/>
      <c r="BY46" s="2462">
        <v>0</v>
      </c>
      <c r="BZ46" s="1969"/>
      <c r="CA46" s="1969"/>
      <c r="CB46" s="1971"/>
      <c r="CC46" s="1969"/>
      <c r="CD46" s="1969"/>
      <c r="CE46" s="2273"/>
      <c r="CG46" s="1961" t="s">
        <v>1396</v>
      </c>
      <c r="CH46" s="1964" t="s">
        <v>2543</v>
      </c>
      <c r="CI46" s="1965" t="s">
        <v>2705</v>
      </c>
      <c r="CJ46" s="2713">
        <f t="shared" si="19"/>
        <v>0</v>
      </c>
      <c r="CK46" s="2713">
        <f t="shared" si="20"/>
        <v>0</v>
      </c>
      <c r="CL46" s="2713">
        <f t="shared" si="21"/>
        <v>0</v>
      </c>
      <c r="CM46" s="2713">
        <f t="shared" si="22"/>
        <v>0</v>
      </c>
      <c r="CN46" s="2713">
        <f t="shared" si="23"/>
        <v>0</v>
      </c>
      <c r="CO46" s="2713">
        <f t="shared" si="24"/>
        <v>0</v>
      </c>
      <c r="CP46" s="2713">
        <f t="shared" si="25"/>
        <v>0</v>
      </c>
      <c r="CQ46" s="2713">
        <f t="shared" si="25"/>
        <v>0</v>
      </c>
      <c r="CR46" s="2713">
        <f t="shared" si="27"/>
        <v>0</v>
      </c>
      <c r="CS46" s="2713">
        <f t="shared" si="28"/>
        <v>0</v>
      </c>
      <c r="CT46" s="2715">
        <f t="shared" si="13"/>
        <v>0</v>
      </c>
      <c r="CU46" s="2713">
        <f t="shared" si="14"/>
        <v>0</v>
      </c>
      <c r="CV46" s="2713">
        <f t="shared" si="15"/>
        <v>0</v>
      </c>
      <c r="CX46" s="1961" t="s">
        <v>1396</v>
      </c>
      <c r="CY46" s="1964" t="s">
        <v>2543</v>
      </c>
      <c r="CZ46" s="1965" t="s">
        <v>2705</v>
      </c>
      <c r="DA46" s="2909">
        <f t="shared" si="29"/>
        <v>0</v>
      </c>
      <c r="DB46" s="2909"/>
      <c r="DC46" s="2909"/>
      <c r="DD46" s="2909"/>
      <c r="DE46" s="2909"/>
      <c r="DF46" s="2909"/>
      <c r="DG46" s="2909"/>
      <c r="DH46" s="2909"/>
      <c r="DI46" s="2909"/>
      <c r="DJ46" s="2909"/>
      <c r="DK46" s="2911"/>
      <c r="DL46" s="2909"/>
      <c r="DM46" s="2909"/>
    </row>
    <row r="47" spans="2:117">
      <c r="B47" s="1916">
        <f t="shared" si="68"/>
        <v>3.4</v>
      </c>
      <c r="C47" s="1938" t="str">
        <f t="shared" si="1"/>
        <v>照明制御</v>
      </c>
      <c r="D47" s="1935" t="e">
        <f>IF(I$35=0,0,G47/I$35)</f>
        <v>#DIV/0!</v>
      </c>
      <c r="E47" s="1936" t="e">
        <f>IF(J$35=0,0,H47/J$35)</f>
        <v>#DIV/0!</v>
      </c>
      <c r="G47" s="1936" t="e">
        <f t="shared" si="64"/>
        <v>#DIV/0!</v>
      </c>
      <c r="H47" s="1936" t="e">
        <f t="shared" si="65"/>
        <v>#DIV/0!</v>
      </c>
      <c r="I47" s="1936"/>
      <c r="J47" s="1936"/>
      <c r="K47" s="1936">
        <f>IF(スコア!O47=0,0,1)</f>
        <v>1</v>
      </c>
      <c r="L47" s="1936">
        <f>IF(スコア!R47=0,0,1)</f>
        <v>1</v>
      </c>
      <c r="M47" s="1936" t="e">
        <f t="shared" si="66"/>
        <v>#DIV/0!</v>
      </c>
      <c r="N47" s="1936" t="e">
        <f t="shared" si="67"/>
        <v>#DIV/0!</v>
      </c>
      <c r="P47" s="1937">
        <f t="shared" si="6"/>
        <v>3.4</v>
      </c>
      <c r="Q47" s="1937" t="str">
        <f t="shared" si="7"/>
        <v xml:space="preserve"> Q1 3</v>
      </c>
      <c r="R47" s="1938" t="str">
        <f t="shared" si="8"/>
        <v>照明制御</v>
      </c>
      <c r="S47" s="2799">
        <f t="shared" si="16"/>
        <v>0.25</v>
      </c>
      <c r="T47" s="2799">
        <f t="shared" si="32"/>
        <v>0.25</v>
      </c>
      <c r="U47" s="2799">
        <f t="shared" si="33"/>
        <v>0.5</v>
      </c>
      <c r="V47" s="2799">
        <f t="shared" si="34"/>
        <v>0</v>
      </c>
      <c r="W47" s="2799">
        <f t="shared" si="35"/>
        <v>0.25</v>
      </c>
      <c r="X47" s="2799">
        <f t="shared" si="36"/>
        <v>0.25</v>
      </c>
      <c r="Y47" s="2799">
        <f t="shared" si="37"/>
        <v>0.25</v>
      </c>
      <c r="Z47" s="2803">
        <f t="shared" si="38"/>
        <v>0.5</v>
      </c>
      <c r="AA47" s="2799">
        <f t="shared" si="17"/>
        <v>0.25</v>
      </c>
      <c r="AB47" s="2799">
        <f t="shared" si="10"/>
        <v>0.25</v>
      </c>
      <c r="AC47" s="2800">
        <f t="shared" si="11"/>
        <v>0.25</v>
      </c>
      <c r="AD47" s="2799">
        <f t="shared" si="12"/>
        <v>0.25</v>
      </c>
      <c r="AE47" s="2799">
        <f t="shared" si="18"/>
        <v>0.25</v>
      </c>
      <c r="AG47" s="1937">
        <v>3.4</v>
      </c>
      <c r="AH47" s="1941" t="s">
        <v>2534</v>
      </c>
      <c r="AI47" s="1938" t="s">
        <v>993</v>
      </c>
      <c r="AJ47" s="1939">
        <v>0.25</v>
      </c>
      <c r="AK47" s="1939">
        <v>0.25</v>
      </c>
      <c r="AL47" s="1939">
        <v>0.5</v>
      </c>
      <c r="AM47" s="1939"/>
      <c r="AN47" s="1939">
        <v>0.25</v>
      </c>
      <c r="AO47" s="1939">
        <v>0.25</v>
      </c>
      <c r="AP47" s="1939">
        <v>0.25</v>
      </c>
      <c r="AQ47" s="1955"/>
      <c r="AR47" s="1939">
        <v>0.25</v>
      </c>
      <c r="AS47" s="1944">
        <v>0.25</v>
      </c>
      <c r="AT47" s="1945">
        <v>0.25</v>
      </c>
      <c r="AU47" s="1944">
        <v>0.25</v>
      </c>
      <c r="AV47" s="1944">
        <v>0.25</v>
      </c>
      <c r="AX47" s="1937">
        <v>3.4</v>
      </c>
      <c r="AY47" s="1941" t="s">
        <v>2534</v>
      </c>
      <c r="AZ47" s="1938" t="s">
        <v>993</v>
      </c>
      <c r="BA47" s="1944">
        <v>0.25</v>
      </c>
      <c r="BB47" s="1944">
        <v>0.25</v>
      </c>
      <c r="BC47" s="1944">
        <v>0.5</v>
      </c>
      <c r="BD47" s="1944">
        <v>0</v>
      </c>
      <c r="BE47" s="1944">
        <v>0.25</v>
      </c>
      <c r="BF47" s="1944">
        <v>0.25</v>
      </c>
      <c r="BG47" s="1944">
        <v>0.25</v>
      </c>
      <c r="BH47" s="1946"/>
      <c r="BI47" s="1944">
        <v>0.25</v>
      </c>
      <c r="BJ47" s="1944">
        <v>0.25</v>
      </c>
      <c r="BK47" s="1945">
        <v>0.25</v>
      </c>
      <c r="BL47" s="1944">
        <v>0.25</v>
      </c>
      <c r="BM47" s="1944">
        <v>0.25</v>
      </c>
      <c r="BO47" s="1937">
        <v>3.4</v>
      </c>
      <c r="BP47" s="1941" t="s">
        <v>2534</v>
      </c>
      <c r="BQ47" s="1938" t="s">
        <v>993</v>
      </c>
      <c r="BR47" s="1944">
        <v>0.25</v>
      </c>
      <c r="BS47" s="1944">
        <v>0.25</v>
      </c>
      <c r="BT47" s="1944">
        <v>0.5</v>
      </c>
      <c r="BU47" s="1944"/>
      <c r="BV47" s="1944">
        <v>0.25</v>
      </c>
      <c r="BW47" s="1944">
        <v>0.25</v>
      </c>
      <c r="BX47" s="1944">
        <v>0.25</v>
      </c>
      <c r="BY47" s="2460">
        <v>0.5</v>
      </c>
      <c r="BZ47" s="1944">
        <v>0.25</v>
      </c>
      <c r="CA47" s="1944">
        <v>0.25</v>
      </c>
      <c r="CB47" s="1945">
        <v>0.25</v>
      </c>
      <c r="CC47" s="1944">
        <v>0.25</v>
      </c>
      <c r="CD47" s="1944">
        <v>0.25</v>
      </c>
      <c r="CE47" s="2272"/>
      <c r="CG47" s="1937">
        <v>3.4</v>
      </c>
      <c r="CH47" s="1941" t="s">
        <v>2534</v>
      </c>
      <c r="CI47" s="1938" t="s">
        <v>993</v>
      </c>
      <c r="CJ47" s="2706">
        <f t="shared" si="19"/>
        <v>0.25</v>
      </c>
      <c r="CK47" s="2706">
        <f t="shared" si="20"/>
        <v>0.25</v>
      </c>
      <c r="CL47" s="2706">
        <f t="shared" si="21"/>
        <v>0.5</v>
      </c>
      <c r="CM47" s="2706">
        <f t="shared" si="22"/>
        <v>0</v>
      </c>
      <c r="CN47" s="2706">
        <f t="shared" si="23"/>
        <v>0.25</v>
      </c>
      <c r="CO47" s="2706">
        <f t="shared" si="24"/>
        <v>0.25</v>
      </c>
      <c r="CP47" s="2706">
        <f t="shared" si="25"/>
        <v>0.25</v>
      </c>
      <c r="CQ47" s="2706">
        <f t="shared" si="25"/>
        <v>0.5</v>
      </c>
      <c r="CR47" s="2706">
        <f t="shared" si="27"/>
        <v>0.25</v>
      </c>
      <c r="CS47" s="2706">
        <f t="shared" si="28"/>
        <v>0.25</v>
      </c>
      <c r="CT47" s="2708">
        <f t="shared" si="13"/>
        <v>0.25</v>
      </c>
      <c r="CU47" s="2706">
        <f t="shared" si="14"/>
        <v>0.25</v>
      </c>
      <c r="CV47" s="2706">
        <f t="shared" si="15"/>
        <v>0.25</v>
      </c>
      <c r="CX47" s="1937">
        <v>3.4</v>
      </c>
      <c r="CY47" s="1941" t="s">
        <v>2534</v>
      </c>
      <c r="CZ47" s="1938" t="s">
        <v>993</v>
      </c>
      <c r="DA47" s="2695">
        <f t="shared" si="29"/>
        <v>0.25</v>
      </c>
      <c r="DB47" s="2695"/>
      <c r="DC47" s="2695"/>
      <c r="DD47" s="2695"/>
      <c r="DE47" s="2695"/>
      <c r="DF47" s="2695"/>
      <c r="DG47" s="2695"/>
      <c r="DH47" s="2695"/>
      <c r="DI47" s="2695"/>
      <c r="DJ47" s="2695"/>
      <c r="DK47" s="2905"/>
      <c r="DL47" s="2695"/>
      <c r="DM47" s="2695"/>
    </row>
    <row r="48" spans="2:117">
      <c r="B48" s="1916">
        <f t="shared" si="68"/>
        <v>4</v>
      </c>
      <c r="C48" s="1928" t="str">
        <f t="shared" si="1"/>
        <v>空気質環境</v>
      </c>
      <c r="D48" s="1924" t="e">
        <f>IF(I$9=0,0,G48/I$9)</f>
        <v>#DIV/0!</v>
      </c>
      <c r="E48" s="1925" t="e">
        <f>IF(J$9=0,0,H48/J$9)</f>
        <v>#DIV/0!</v>
      </c>
      <c r="G48" s="1925" t="e">
        <f t="shared" si="64"/>
        <v>#DIV/0!</v>
      </c>
      <c r="H48" s="1925" t="e">
        <f t="shared" si="65"/>
        <v>#DIV/0!</v>
      </c>
      <c r="I48" s="1925" t="e">
        <f>G49+G54+G59</f>
        <v>#DIV/0!</v>
      </c>
      <c r="J48" s="1925" t="e">
        <f>H49+H54+H59</f>
        <v>#DIV/0!</v>
      </c>
      <c r="K48" s="1925" t="e">
        <f>IF(L48&gt;0,1,IF(スコア!O48=0,0,1))</f>
        <v>#DIV/0!</v>
      </c>
      <c r="L48" s="1925" t="e">
        <f>IF(スコア!R48=0,0,1)</f>
        <v>#DIV/0!</v>
      </c>
      <c r="M48" s="1925" t="e">
        <f t="shared" si="66"/>
        <v>#DIV/0!</v>
      </c>
      <c r="N48" s="1925" t="e">
        <f t="shared" si="67"/>
        <v>#DIV/0!</v>
      </c>
      <c r="P48" s="1927">
        <f t="shared" si="6"/>
        <v>4</v>
      </c>
      <c r="Q48" s="1927" t="str">
        <f t="shared" si="7"/>
        <v xml:space="preserve"> Q1</v>
      </c>
      <c r="R48" s="1928" t="str">
        <f t="shared" si="8"/>
        <v>空気質環境</v>
      </c>
      <c r="S48" s="2796">
        <f t="shared" si="16"/>
        <v>0.25</v>
      </c>
      <c r="T48" s="2796">
        <f t="shared" si="32"/>
        <v>0.25</v>
      </c>
      <c r="U48" s="2796">
        <f t="shared" si="33"/>
        <v>0.25</v>
      </c>
      <c r="V48" s="2796">
        <f t="shared" si="34"/>
        <v>0.25</v>
      </c>
      <c r="W48" s="2796">
        <f t="shared" si="35"/>
        <v>0.25</v>
      </c>
      <c r="X48" s="2796">
        <f t="shared" si="36"/>
        <v>0.25</v>
      </c>
      <c r="Y48" s="2796">
        <f t="shared" si="37"/>
        <v>0.25</v>
      </c>
      <c r="Z48" s="2802">
        <f t="shared" si="38"/>
        <v>0.25</v>
      </c>
      <c r="AA48" s="2796">
        <f t="shared" si="17"/>
        <v>0.25</v>
      </c>
      <c r="AB48" s="2796">
        <f t="shared" si="10"/>
        <v>0.25</v>
      </c>
      <c r="AC48" s="2798">
        <f t="shared" si="11"/>
        <v>0</v>
      </c>
      <c r="AD48" s="2796">
        <f t="shared" si="12"/>
        <v>0</v>
      </c>
      <c r="AE48" s="2796">
        <f t="shared" si="18"/>
        <v>0</v>
      </c>
      <c r="AG48" s="1927">
        <v>4</v>
      </c>
      <c r="AH48" s="1931" t="s">
        <v>953</v>
      </c>
      <c r="AI48" s="1953" t="s">
        <v>89</v>
      </c>
      <c r="AJ48" s="1972">
        <v>0.25</v>
      </c>
      <c r="AK48" s="1972">
        <v>0.25</v>
      </c>
      <c r="AL48" s="1972">
        <v>0.25</v>
      </c>
      <c r="AM48" s="1972">
        <v>0.25</v>
      </c>
      <c r="AN48" s="1972">
        <v>0.25</v>
      </c>
      <c r="AO48" s="1972">
        <v>0.25</v>
      </c>
      <c r="AP48" s="1972">
        <v>0.25</v>
      </c>
      <c r="AQ48" s="1954">
        <v>0.33</v>
      </c>
      <c r="AR48" s="1972">
        <v>0.25</v>
      </c>
      <c r="AS48" s="1932">
        <v>0.25</v>
      </c>
      <c r="AT48" s="1933"/>
      <c r="AU48" s="1932"/>
      <c r="AV48" s="1932"/>
      <c r="AX48" s="1927">
        <v>4</v>
      </c>
      <c r="AY48" s="1931" t="s">
        <v>953</v>
      </c>
      <c r="AZ48" s="1953" t="s">
        <v>89</v>
      </c>
      <c r="BA48" s="1932">
        <v>0.25</v>
      </c>
      <c r="BB48" s="1932">
        <v>0.25</v>
      </c>
      <c r="BC48" s="1932">
        <v>0.25</v>
      </c>
      <c r="BD48" s="1932">
        <v>0.25</v>
      </c>
      <c r="BE48" s="1932">
        <v>0.25</v>
      </c>
      <c r="BF48" s="1932">
        <v>0.25</v>
      </c>
      <c r="BG48" s="1932">
        <v>0.25</v>
      </c>
      <c r="BH48" s="1954">
        <v>0.33</v>
      </c>
      <c r="BI48" s="1932">
        <v>0.25</v>
      </c>
      <c r="BJ48" s="1932">
        <v>0.25</v>
      </c>
      <c r="BK48" s="1933"/>
      <c r="BL48" s="1932"/>
      <c r="BM48" s="1932"/>
      <c r="BO48" s="1927">
        <v>4</v>
      </c>
      <c r="BP48" s="1931" t="s">
        <v>953</v>
      </c>
      <c r="BQ48" s="1953" t="s">
        <v>89</v>
      </c>
      <c r="BR48" s="1972">
        <v>0.25</v>
      </c>
      <c r="BS48" s="1972">
        <v>0.25</v>
      </c>
      <c r="BT48" s="1972">
        <v>0.25</v>
      </c>
      <c r="BU48" s="1972">
        <v>0.25</v>
      </c>
      <c r="BV48" s="1972">
        <v>0.25</v>
      </c>
      <c r="BW48" s="1972">
        <v>0.25</v>
      </c>
      <c r="BX48" s="1972">
        <v>0.25</v>
      </c>
      <c r="BY48" s="2457">
        <v>0.25</v>
      </c>
      <c r="BZ48" s="1972">
        <v>0.25</v>
      </c>
      <c r="CA48" s="1972">
        <v>0.25</v>
      </c>
      <c r="CB48" s="1973"/>
      <c r="CC48" s="1972"/>
      <c r="CD48" s="1972"/>
      <c r="CE48" s="2274"/>
      <c r="CG48" s="1927">
        <v>4</v>
      </c>
      <c r="CH48" s="1931" t="s">
        <v>953</v>
      </c>
      <c r="CI48" s="1953" t="s">
        <v>89</v>
      </c>
      <c r="CJ48" s="2703">
        <f t="shared" si="19"/>
        <v>0.25</v>
      </c>
      <c r="CK48" s="2703">
        <f t="shared" si="20"/>
        <v>0.25</v>
      </c>
      <c r="CL48" s="2703">
        <f t="shared" si="21"/>
        <v>0.25</v>
      </c>
      <c r="CM48" s="2703">
        <f t="shared" si="22"/>
        <v>0.25</v>
      </c>
      <c r="CN48" s="2703">
        <f t="shared" si="23"/>
        <v>0.25</v>
      </c>
      <c r="CO48" s="2703">
        <f t="shared" si="24"/>
        <v>0.25</v>
      </c>
      <c r="CP48" s="2703">
        <f t="shared" si="25"/>
        <v>0.25</v>
      </c>
      <c r="CQ48" s="2703">
        <f t="shared" si="25"/>
        <v>0.25</v>
      </c>
      <c r="CR48" s="2703">
        <f t="shared" si="27"/>
        <v>0.25</v>
      </c>
      <c r="CS48" s="2703">
        <f t="shared" si="28"/>
        <v>0.25</v>
      </c>
      <c r="CT48" s="2705">
        <f t="shared" si="13"/>
        <v>0</v>
      </c>
      <c r="CU48" s="2703">
        <f t="shared" si="14"/>
        <v>0</v>
      </c>
      <c r="CV48" s="2703">
        <f t="shared" si="15"/>
        <v>0</v>
      </c>
      <c r="CX48" s="1927">
        <v>4</v>
      </c>
      <c r="CY48" s="1931" t="s">
        <v>953</v>
      </c>
      <c r="CZ48" s="1953" t="s">
        <v>89</v>
      </c>
      <c r="DA48" s="2693">
        <f t="shared" si="29"/>
        <v>0.25</v>
      </c>
      <c r="DB48" s="2693"/>
      <c r="DC48" s="2693"/>
      <c r="DD48" s="2693"/>
      <c r="DE48" s="2693"/>
      <c r="DF48" s="2693"/>
      <c r="DG48" s="2693"/>
      <c r="DH48" s="2693"/>
      <c r="DI48" s="2693"/>
      <c r="DJ48" s="2693"/>
      <c r="DK48" s="2694"/>
      <c r="DL48" s="2693"/>
      <c r="DM48" s="2693"/>
    </row>
    <row r="49" spans="2:117">
      <c r="B49" s="1916">
        <f t="shared" si="68"/>
        <v>4.0999999999999996</v>
      </c>
      <c r="C49" s="1938" t="str">
        <f t="shared" si="1"/>
        <v>発生源対策</v>
      </c>
      <c r="D49" s="1935" t="e">
        <f>IF(I$48=0,0,G49/I$48)</f>
        <v>#DIV/0!</v>
      </c>
      <c r="E49" s="1936" t="e">
        <f>IF(J$48=0,0,H49/J$48)</f>
        <v>#DIV/0!</v>
      </c>
      <c r="G49" s="1936" t="e">
        <f t="shared" si="64"/>
        <v>#DIV/0!</v>
      </c>
      <c r="H49" s="1936" t="e">
        <f t="shared" si="65"/>
        <v>#DIV/0!</v>
      </c>
      <c r="I49" s="1936" t="e">
        <f>SUM(G50:G53)</f>
        <v>#DIV/0!</v>
      </c>
      <c r="J49" s="1936" t="e">
        <f>SUM(H50:H53)</f>
        <v>#DIV/0!</v>
      </c>
      <c r="K49" s="1936" t="e">
        <f>IF(スコア!O49=0,0,1)</f>
        <v>#DIV/0!</v>
      </c>
      <c r="L49" s="1936" t="e">
        <f>IF(スコア!R49=0,0,1)</f>
        <v>#DIV/0!</v>
      </c>
      <c r="M49" s="1936" t="e">
        <f t="shared" si="66"/>
        <v>#DIV/0!</v>
      </c>
      <c r="N49" s="1936" t="e">
        <f t="shared" si="67"/>
        <v>#DIV/0!</v>
      </c>
      <c r="P49" s="1937">
        <f t="shared" si="6"/>
        <v>4.0999999999999996</v>
      </c>
      <c r="Q49" s="1937" t="str">
        <f t="shared" si="7"/>
        <v xml:space="preserve"> Q1 4</v>
      </c>
      <c r="R49" s="1938" t="str">
        <f t="shared" si="8"/>
        <v>発生源対策</v>
      </c>
      <c r="S49" s="2799">
        <f t="shared" si="16"/>
        <v>0.5</v>
      </c>
      <c r="T49" s="2799">
        <f t="shared" si="32"/>
        <v>0.5</v>
      </c>
      <c r="U49" s="2799">
        <f t="shared" si="33"/>
        <v>0.5</v>
      </c>
      <c r="V49" s="2799">
        <f t="shared" si="34"/>
        <v>0.5</v>
      </c>
      <c r="W49" s="2799">
        <f t="shared" si="35"/>
        <v>0.5</v>
      </c>
      <c r="X49" s="2799">
        <f t="shared" si="36"/>
        <v>0.5</v>
      </c>
      <c r="Y49" s="2799">
        <f t="shared" si="37"/>
        <v>0.6</v>
      </c>
      <c r="Z49" s="2801">
        <f t="shared" si="38"/>
        <v>0.5</v>
      </c>
      <c r="AA49" s="2799">
        <f t="shared" si="17"/>
        <v>0.5</v>
      </c>
      <c r="AB49" s="2799">
        <f t="shared" si="10"/>
        <v>0.5</v>
      </c>
      <c r="AC49" s="2800">
        <f t="shared" si="11"/>
        <v>0.625</v>
      </c>
      <c r="AD49" s="2799">
        <f t="shared" si="12"/>
        <v>0.625</v>
      </c>
      <c r="AE49" s="2799">
        <f t="shared" si="18"/>
        <v>0.625</v>
      </c>
      <c r="AG49" s="1937">
        <v>4.0999999999999996</v>
      </c>
      <c r="AH49" s="1941" t="s">
        <v>2544</v>
      </c>
      <c r="AI49" s="1938" t="s">
        <v>995</v>
      </c>
      <c r="AJ49" s="1974">
        <v>0.5</v>
      </c>
      <c r="AK49" s="1974">
        <v>0.5</v>
      </c>
      <c r="AL49" s="1974">
        <v>0.5</v>
      </c>
      <c r="AM49" s="1974">
        <v>0.5</v>
      </c>
      <c r="AN49" s="1974">
        <v>0.5</v>
      </c>
      <c r="AO49" s="1974">
        <v>0.5</v>
      </c>
      <c r="AP49" s="1974">
        <v>0.6</v>
      </c>
      <c r="AQ49" s="1975">
        <v>0.5</v>
      </c>
      <c r="AR49" s="1974">
        <v>0.5</v>
      </c>
      <c r="AS49" s="1944">
        <v>0.5</v>
      </c>
      <c r="AT49" s="1945">
        <v>0.625</v>
      </c>
      <c r="AU49" s="1944">
        <v>0.625</v>
      </c>
      <c r="AV49" s="1944">
        <v>0.625</v>
      </c>
      <c r="AX49" s="1937">
        <v>4.0999999999999996</v>
      </c>
      <c r="AY49" s="1941" t="s">
        <v>2544</v>
      </c>
      <c r="AZ49" s="1938" t="s">
        <v>995</v>
      </c>
      <c r="BA49" s="1944">
        <v>0.5</v>
      </c>
      <c r="BB49" s="1944">
        <v>0.5</v>
      </c>
      <c r="BC49" s="1944">
        <v>0.5</v>
      </c>
      <c r="BD49" s="1944">
        <v>0.5</v>
      </c>
      <c r="BE49" s="1944">
        <v>0.5</v>
      </c>
      <c r="BF49" s="1944">
        <v>0.5</v>
      </c>
      <c r="BG49" s="1944">
        <v>0.6</v>
      </c>
      <c r="BH49" s="1951">
        <v>0.5</v>
      </c>
      <c r="BI49" s="1944">
        <v>0.5</v>
      </c>
      <c r="BJ49" s="1944">
        <v>0.5</v>
      </c>
      <c r="BK49" s="1945">
        <v>0.625</v>
      </c>
      <c r="BL49" s="1944">
        <v>0.625</v>
      </c>
      <c r="BM49" s="1944">
        <v>0.625</v>
      </c>
      <c r="BO49" s="1937">
        <v>4.0999999999999996</v>
      </c>
      <c r="BP49" s="1941" t="s">
        <v>2544</v>
      </c>
      <c r="BQ49" s="1938" t="s">
        <v>995</v>
      </c>
      <c r="BR49" s="1974">
        <v>0.5</v>
      </c>
      <c r="BS49" s="1974">
        <v>0.5</v>
      </c>
      <c r="BT49" s="1974">
        <v>0.5</v>
      </c>
      <c r="BU49" s="1974">
        <v>0.5</v>
      </c>
      <c r="BV49" s="1974">
        <v>0.5</v>
      </c>
      <c r="BW49" s="1974">
        <v>0.5</v>
      </c>
      <c r="BX49" s="1974">
        <v>0.6</v>
      </c>
      <c r="BY49" s="2463">
        <v>0.5</v>
      </c>
      <c r="BZ49" s="1974">
        <v>0.5</v>
      </c>
      <c r="CA49" s="1974">
        <v>0.5</v>
      </c>
      <c r="CB49" s="1976">
        <v>0.625</v>
      </c>
      <c r="CC49" s="1974">
        <v>0.625</v>
      </c>
      <c r="CD49" s="1974">
        <v>0.625</v>
      </c>
      <c r="CE49" s="2273"/>
      <c r="CG49" s="1937">
        <v>4.0999999999999996</v>
      </c>
      <c r="CH49" s="1941" t="s">
        <v>2544</v>
      </c>
      <c r="CI49" s="1938" t="s">
        <v>995</v>
      </c>
      <c r="CJ49" s="2706">
        <f t="shared" si="19"/>
        <v>0.5</v>
      </c>
      <c r="CK49" s="2706">
        <f t="shared" si="20"/>
        <v>0.5</v>
      </c>
      <c r="CL49" s="2706">
        <f t="shared" si="21"/>
        <v>0.5</v>
      </c>
      <c r="CM49" s="2706">
        <f t="shared" si="22"/>
        <v>0.5</v>
      </c>
      <c r="CN49" s="2706">
        <f t="shared" si="23"/>
        <v>0.5</v>
      </c>
      <c r="CO49" s="2706">
        <f t="shared" si="24"/>
        <v>0.5</v>
      </c>
      <c r="CP49" s="2706">
        <f t="shared" si="25"/>
        <v>0.6</v>
      </c>
      <c r="CQ49" s="2706">
        <f t="shared" si="25"/>
        <v>0.5</v>
      </c>
      <c r="CR49" s="2706">
        <f t="shared" si="27"/>
        <v>0.5</v>
      </c>
      <c r="CS49" s="2706">
        <f t="shared" si="28"/>
        <v>0.5</v>
      </c>
      <c r="CT49" s="2708">
        <f t="shared" si="13"/>
        <v>0.625</v>
      </c>
      <c r="CU49" s="2706">
        <f t="shared" si="14"/>
        <v>0.625</v>
      </c>
      <c r="CV49" s="2706">
        <f t="shared" si="15"/>
        <v>0.625</v>
      </c>
      <c r="CX49" s="1937">
        <v>4.0999999999999996</v>
      </c>
      <c r="CY49" s="1941" t="s">
        <v>2544</v>
      </c>
      <c r="CZ49" s="1938" t="s">
        <v>995</v>
      </c>
      <c r="DA49" s="2695">
        <f t="shared" si="29"/>
        <v>0.5</v>
      </c>
      <c r="DB49" s="2695"/>
      <c r="DC49" s="2695"/>
      <c r="DD49" s="2695"/>
      <c r="DE49" s="2695"/>
      <c r="DF49" s="2695"/>
      <c r="DG49" s="2695"/>
      <c r="DH49" s="2695"/>
      <c r="DI49" s="2695"/>
      <c r="DJ49" s="2695"/>
      <c r="DK49" s="2905"/>
      <c r="DL49" s="2695"/>
      <c r="DM49" s="2695"/>
    </row>
    <row r="50" spans="2:117">
      <c r="B50" s="1916" t="str">
        <f t="shared" si="68"/>
        <v>4.1.1</v>
      </c>
      <c r="C50" s="1938" t="str">
        <f t="shared" si="1"/>
        <v xml:space="preserve"> 化学汚染物質</v>
      </c>
      <c r="D50" s="1926" t="e">
        <f t="shared" ref="D50:E53" si="69">IF(I$49&gt;0,G50/I$49,0)</f>
        <v>#DIV/0!</v>
      </c>
      <c r="E50" s="1936" t="e">
        <f t="shared" si="69"/>
        <v>#DIV/0!</v>
      </c>
      <c r="G50" s="1936" t="e">
        <f t="shared" si="64"/>
        <v>#DIV/0!</v>
      </c>
      <c r="H50" s="1936" t="e">
        <f t="shared" si="65"/>
        <v>#DIV/0!</v>
      </c>
      <c r="I50" s="1936"/>
      <c r="J50" s="1936"/>
      <c r="K50" s="1936">
        <f>IF(スコア!O50=0,0,1)</f>
        <v>1</v>
      </c>
      <c r="L50" s="1936">
        <f>IF(スコア!R50=0,0,1)</f>
        <v>1</v>
      </c>
      <c r="M50" s="1936" t="e">
        <f t="shared" si="66"/>
        <v>#DIV/0!</v>
      </c>
      <c r="N50" s="1936" t="e">
        <f t="shared" si="67"/>
        <v>#DIV/0!</v>
      </c>
      <c r="P50" s="1937" t="str">
        <f t="shared" si="6"/>
        <v>4.1.1</v>
      </c>
      <c r="Q50" s="1937" t="str">
        <f t="shared" si="7"/>
        <v xml:space="preserve"> Q1 4.1</v>
      </c>
      <c r="R50" s="1938" t="str">
        <f t="shared" si="8"/>
        <v xml:space="preserve"> 化学汚染物質</v>
      </c>
      <c r="S50" s="2799">
        <f t="shared" si="16"/>
        <v>1</v>
      </c>
      <c r="T50" s="2799">
        <f t="shared" si="32"/>
        <v>1</v>
      </c>
      <c r="U50" s="2799">
        <f t="shared" si="33"/>
        <v>1</v>
      </c>
      <c r="V50" s="2799">
        <f t="shared" si="34"/>
        <v>1</v>
      </c>
      <c r="W50" s="2799">
        <f t="shared" si="35"/>
        <v>1</v>
      </c>
      <c r="X50" s="2799">
        <f t="shared" si="36"/>
        <v>1</v>
      </c>
      <c r="Y50" s="2799">
        <f t="shared" si="37"/>
        <v>1</v>
      </c>
      <c r="Z50" s="2801">
        <f t="shared" si="38"/>
        <v>1</v>
      </c>
      <c r="AA50" s="2799">
        <f t="shared" si="17"/>
        <v>1</v>
      </c>
      <c r="AB50" s="2799">
        <f t="shared" si="10"/>
        <v>1</v>
      </c>
      <c r="AC50" s="2800">
        <f t="shared" si="11"/>
        <v>1</v>
      </c>
      <c r="AD50" s="2799">
        <f t="shared" si="12"/>
        <v>1</v>
      </c>
      <c r="AE50" s="2799">
        <f t="shared" si="18"/>
        <v>1</v>
      </c>
      <c r="AG50" s="1937" t="s">
        <v>2706</v>
      </c>
      <c r="AH50" s="1941" t="s">
        <v>2545</v>
      </c>
      <c r="AI50" s="1942" t="s">
        <v>2546</v>
      </c>
      <c r="AJ50" s="1974">
        <v>0.25</v>
      </c>
      <c r="AK50" s="1974">
        <v>0.25</v>
      </c>
      <c r="AL50" s="1974">
        <v>0.25</v>
      </c>
      <c r="AM50" s="1974">
        <v>0.25</v>
      </c>
      <c r="AN50" s="1977">
        <v>0.25</v>
      </c>
      <c r="AO50" s="1977">
        <v>0.33</v>
      </c>
      <c r="AP50" s="1977">
        <v>0.33</v>
      </c>
      <c r="AQ50" s="1975">
        <v>0.25</v>
      </c>
      <c r="AR50" s="1974">
        <v>0.25</v>
      </c>
      <c r="AS50" s="1944">
        <v>0.25</v>
      </c>
      <c r="AT50" s="1945">
        <v>0.25</v>
      </c>
      <c r="AU50" s="1944">
        <v>0.25</v>
      </c>
      <c r="AV50" s="1944">
        <v>0.25</v>
      </c>
      <c r="AX50" s="1937" t="s">
        <v>2706</v>
      </c>
      <c r="AY50" s="1941" t="s">
        <v>2545</v>
      </c>
      <c r="AZ50" s="1942" t="s">
        <v>2546</v>
      </c>
      <c r="BA50" s="1944">
        <v>1</v>
      </c>
      <c r="BB50" s="1944">
        <v>1</v>
      </c>
      <c r="BC50" s="1944">
        <v>1</v>
      </c>
      <c r="BD50" s="1944">
        <v>1</v>
      </c>
      <c r="BE50" s="1944">
        <v>1</v>
      </c>
      <c r="BF50" s="1944">
        <v>1</v>
      </c>
      <c r="BG50" s="1944">
        <v>1</v>
      </c>
      <c r="BH50" s="1951">
        <v>1</v>
      </c>
      <c r="BI50" s="1944">
        <v>1</v>
      </c>
      <c r="BJ50" s="1944">
        <v>1</v>
      </c>
      <c r="BK50" s="1945">
        <v>1</v>
      </c>
      <c r="BL50" s="1944">
        <v>1</v>
      </c>
      <c r="BM50" s="1944">
        <v>1</v>
      </c>
      <c r="BO50" s="1937" t="s">
        <v>2706</v>
      </c>
      <c r="BP50" s="1941" t="s">
        <v>2545</v>
      </c>
      <c r="BQ50" s="1942" t="s">
        <v>2546</v>
      </c>
      <c r="BR50" s="2926">
        <v>1</v>
      </c>
      <c r="BS50" s="2926">
        <v>1</v>
      </c>
      <c r="BT50" s="2926">
        <v>1</v>
      </c>
      <c r="BU50" s="2926">
        <v>1</v>
      </c>
      <c r="BV50" s="2926">
        <v>1</v>
      </c>
      <c r="BW50" s="2926">
        <v>1</v>
      </c>
      <c r="BX50" s="2926">
        <v>1</v>
      </c>
      <c r="BY50" s="2926">
        <v>1</v>
      </c>
      <c r="BZ50" s="2926">
        <v>1</v>
      </c>
      <c r="CA50" s="2926">
        <v>1</v>
      </c>
      <c r="CB50" s="2926">
        <v>1</v>
      </c>
      <c r="CC50" s="2926">
        <v>1</v>
      </c>
      <c r="CD50" s="2926">
        <v>1</v>
      </c>
      <c r="CE50" s="2273"/>
      <c r="CG50" s="1937" t="s">
        <v>1619</v>
      </c>
      <c r="CH50" s="1941" t="s">
        <v>2545</v>
      </c>
      <c r="CI50" s="1942" t="s">
        <v>2546</v>
      </c>
      <c r="CJ50" s="2706">
        <f t="shared" si="19"/>
        <v>1</v>
      </c>
      <c r="CK50" s="2706">
        <f t="shared" si="20"/>
        <v>1</v>
      </c>
      <c r="CL50" s="2706">
        <f t="shared" si="21"/>
        <v>1</v>
      </c>
      <c r="CM50" s="2706">
        <f t="shared" si="22"/>
        <v>1</v>
      </c>
      <c r="CN50" s="2706">
        <f t="shared" si="23"/>
        <v>1</v>
      </c>
      <c r="CO50" s="2706">
        <f t="shared" si="24"/>
        <v>1</v>
      </c>
      <c r="CP50" s="2706">
        <f t="shared" si="25"/>
        <v>1</v>
      </c>
      <c r="CQ50" s="2706">
        <f t="shared" si="25"/>
        <v>1</v>
      </c>
      <c r="CR50" s="2706">
        <f t="shared" si="27"/>
        <v>1</v>
      </c>
      <c r="CS50" s="2706">
        <f t="shared" si="28"/>
        <v>1</v>
      </c>
      <c r="CT50" s="2706">
        <f t="shared" si="13"/>
        <v>1</v>
      </c>
      <c r="CU50" s="2706">
        <f t="shared" si="14"/>
        <v>1</v>
      </c>
      <c r="CV50" s="2706">
        <f t="shared" si="15"/>
        <v>1</v>
      </c>
      <c r="CX50" s="1937" t="s">
        <v>1619</v>
      </c>
      <c r="CY50" s="1941" t="s">
        <v>2545</v>
      </c>
      <c r="CZ50" s="1942" t="s">
        <v>2546</v>
      </c>
      <c r="DA50" s="2695">
        <f t="shared" si="29"/>
        <v>1</v>
      </c>
      <c r="DB50" s="2695"/>
      <c r="DC50" s="2695"/>
      <c r="DD50" s="2695"/>
      <c r="DE50" s="2695"/>
      <c r="DF50" s="2695"/>
      <c r="DG50" s="2695"/>
      <c r="DH50" s="2695"/>
      <c r="DI50" s="2695"/>
      <c r="DJ50" s="2695"/>
      <c r="DK50" s="2695"/>
      <c r="DL50" s="2695"/>
      <c r="DM50" s="2695"/>
    </row>
    <row r="51" spans="2:117" hidden="1">
      <c r="B51" s="1916" t="str">
        <f t="shared" si="68"/>
        <v>4.1.2</v>
      </c>
      <c r="C51" s="1962">
        <f t="shared" si="1"/>
        <v>0</v>
      </c>
      <c r="D51" s="1959" t="e">
        <f t="shared" si="69"/>
        <v>#DIV/0!</v>
      </c>
      <c r="E51" s="1960" t="e">
        <f t="shared" si="69"/>
        <v>#DIV/0!</v>
      </c>
      <c r="G51" s="1960" t="e">
        <f t="shared" si="64"/>
        <v>#DIV/0!</v>
      </c>
      <c r="H51" s="1960" t="e">
        <f t="shared" si="65"/>
        <v>#DIV/0!</v>
      </c>
      <c r="I51" s="1960"/>
      <c r="J51" s="1960"/>
      <c r="K51" s="1960">
        <f>IF(スコア!O51=0,0,1)</f>
        <v>0</v>
      </c>
      <c r="L51" s="1960">
        <f>IF(スコア!R51=0,0,1)</f>
        <v>0</v>
      </c>
      <c r="M51" s="1960" t="e">
        <f t="shared" si="66"/>
        <v>#DIV/0!</v>
      </c>
      <c r="N51" s="1960" t="e">
        <f t="shared" si="67"/>
        <v>#DIV/0!</v>
      </c>
      <c r="P51" s="1961" t="str">
        <f t="shared" si="6"/>
        <v>4.1.2</v>
      </c>
      <c r="Q51" s="1961" t="str">
        <f t="shared" si="7"/>
        <v xml:space="preserve"> Q1 4.1</v>
      </c>
      <c r="R51" s="1962">
        <f t="shared" si="8"/>
        <v>0</v>
      </c>
      <c r="S51" s="2805">
        <f t="shared" si="16"/>
        <v>0</v>
      </c>
      <c r="T51" s="2805">
        <f t="shared" si="32"/>
        <v>0</v>
      </c>
      <c r="U51" s="2805">
        <f t="shared" si="33"/>
        <v>0</v>
      </c>
      <c r="V51" s="2805">
        <f t="shared" si="34"/>
        <v>0</v>
      </c>
      <c r="W51" s="2805">
        <f t="shared" si="35"/>
        <v>0</v>
      </c>
      <c r="X51" s="2805">
        <f t="shared" si="36"/>
        <v>0</v>
      </c>
      <c r="Y51" s="2805">
        <f t="shared" si="37"/>
        <v>0</v>
      </c>
      <c r="Z51" s="2806">
        <f t="shared" si="38"/>
        <v>0</v>
      </c>
      <c r="AA51" s="2805">
        <f t="shared" si="17"/>
        <v>0</v>
      </c>
      <c r="AB51" s="2805">
        <f t="shared" si="10"/>
        <v>0</v>
      </c>
      <c r="AC51" s="2807">
        <f t="shared" si="11"/>
        <v>0</v>
      </c>
      <c r="AD51" s="2805">
        <f t="shared" si="12"/>
        <v>0</v>
      </c>
      <c r="AE51" s="2805">
        <f t="shared" si="18"/>
        <v>0</v>
      </c>
      <c r="AG51" s="1937" t="s">
        <v>2707</v>
      </c>
      <c r="AH51" s="1941" t="s">
        <v>2545</v>
      </c>
      <c r="AI51" s="1942" t="s">
        <v>2708</v>
      </c>
      <c r="AJ51" s="1974">
        <v>0.25</v>
      </c>
      <c r="AK51" s="1974">
        <v>0.25</v>
      </c>
      <c r="AL51" s="1974">
        <v>0.25</v>
      </c>
      <c r="AM51" s="1974">
        <v>0.25</v>
      </c>
      <c r="AN51" s="1977">
        <v>0.25</v>
      </c>
      <c r="AO51" s="1977">
        <v>0.33</v>
      </c>
      <c r="AP51" s="1977">
        <v>0.33</v>
      </c>
      <c r="AQ51" s="1975">
        <v>0.25</v>
      </c>
      <c r="AR51" s="1974">
        <v>0.25</v>
      </c>
      <c r="AS51" s="1944">
        <v>0.25</v>
      </c>
      <c r="AT51" s="1945">
        <v>0.25</v>
      </c>
      <c r="AU51" s="1944">
        <v>0.25</v>
      </c>
      <c r="AV51" s="1944">
        <v>0.25</v>
      </c>
      <c r="AX51" s="1961" t="s">
        <v>2707</v>
      </c>
      <c r="AY51" s="1964" t="s">
        <v>2545</v>
      </c>
      <c r="AZ51" s="1965" t="s">
        <v>2708</v>
      </c>
      <c r="BA51" s="1966"/>
      <c r="BB51" s="1966"/>
      <c r="BC51" s="1966"/>
      <c r="BD51" s="1966"/>
      <c r="BE51" s="1966"/>
      <c r="BF51" s="1966"/>
      <c r="BG51" s="1966"/>
      <c r="BH51" s="1967"/>
      <c r="BI51" s="1966"/>
      <c r="BJ51" s="1966"/>
      <c r="BK51" s="1968"/>
      <c r="BL51" s="1966"/>
      <c r="BM51" s="1966"/>
      <c r="BO51" s="1961" t="s">
        <v>2707</v>
      </c>
      <c r="BP51" s="1964" t="s">
        <v>2545</v>
      </c>
      <c r="BQ51" s="1965"/>
      <c r="BR51" s="1969"/>
      <c r="BS51" s="1969"/>
      <c r="BT51" s="1969"/>
      <c r="BU51" s="1969"/>
      <c r="BV51" s="1969"/>
      <c r="BW51" s="1969"/>
      <c r="BX51" s="1969"/>
      <c r="BY51" s="2459"/>
      <c r="BZ51" s="1969"/>
      <c r="CA51" s="1969"/>
      <c r="CB51" s="1971"/>
      <c r="CC51" s="1969"/>
      <c r="CD51" s="1969"/>
      <c r="CE51" s="2273"/>
      <c r="CG51" s="1961" t="s">
        <v>1620</v>
      </c>
      <c r="CH51" s="1964" t="s">
        <v>2545</v>
      </c>
      <c r="CI51" s="1965"/>
      <c r="CJ51" s="2713"/>
      <c r="CK51" s="2713"/>
      <c r="CL51" s="2713"/>
      <c r="CM51" s="2713"/>
      <c r="CN51" s="2713"/>
      <c r="CO51" s="2713"/>
      <c r="CP51" s="2713"/>
      <c r="CQ51" s="2714"/>
      <c r="CR51" s="2713"/>
      <c r="CS51" s="2713"/>
      <c r="CT51" s="2715"/>
      <c r="CU51" s="2713"/>
      <c r="CV51" s="2713"/>
      <c r="CX51" s="1961"/>
      <c r="CY51" s="1964"/>
      <c r="CZ51" s="1965"/>
      <c r="DA51" s="2909"/>
      <c r="DB51" s="2909"/>
      <c r="DC51" s="2909"/>
      <c r="DD51" s="2909"/>
      <c r="DE51" s="2909"/>
      <c r="DF51" s="2909"/>
      <c r="DG51" s="2909"/>
      <c r="DH51" s="2910"/>
      <c r="DI51" s="2909"/>
      <c r="DJ51" s="2909"/>
      <c r="DK51" s="2911"/>
      <c r="DL51" s="2909"/>
      <c r="DM51" s="2909"/>
    </row>
    <row r="52" spans="2:117" hidden="1">
      <c r="B52" s="1916" t="str">
        <f t="shared" si="68"/>
        <v>4.1.3</v>
      </c>
      <c r="C52" s="1938">
        <f t="shared" si="1"/>
        <v>0</v>
      </c>
      <c r="D52" s="1926" t="e">
        <f t="shared" si="69"/>
        <v>#DIV/0!</v>
      </c>
      <c r="E52" s="1936" t="e">
        <f t="shared" si="69"/>
        <v>#DIV/0!</v>
      </c>
      <c r="G52" s="1936" t="e">
        <f t="shared" si="64"/>
        <v>#DIV/0!</v>
      </c>
      <c r="H52" s="1936" t="e">
        <f t="shared" si="65"/>
        <v>#DIV/0!</v>
      </c>
      <c r="I52" s="1936"/>
      <c r="J52" s="1936"/>
      <c r="K52" s="1936">
        <f>IF(スコア!O52=0,0,1)</f>
        <v>0</v>
      </c>
      <c r="L52" s="1936">
        <f>IF(スコア!R52=0,0,1)</f>
        <v>0</v>
      </c>
      <c r="M52" s="1936" t="e">
        <f t="shared" si="66"/>
        <v>#DIV/0!</v>
      </c>
      <c r="N52" s="1936" t="e">
        <f t="shared" si="67"/>
        <v>#DIV/0!</v>
      </c>
      <c r="P52" s="1937" t="str">
        <f t="shared" si="6"/>
        <v>4.1.3</v>
      </c>
      <c r="Q52" s="1937" t="str">
        <f t="shared" si="7"/>
        <v xml:space="preserve"> Q1 4.1</v>
      </c>
      <c r="R52" s="1938">
        <f t="shared" si="8"/>
        <v>0</v>
      </c>
      <c r="S52" s="2799">
        <f t="shared" si="16"/>
        <v>0</v>
      </c>
      <c r="T52" s="2799">
        <f t="shared" si="32"/>
        <v>0</v>
      </c>
      <c r="U52" s="2799">
        <f t="shared" si="33"/>
        <v>0</v>
      </c>
      <c r="V52" s="2799">
        <f t="shared" si="34"/>
        <v>0</v>
      </c>
      <c r="W52" s="2799">
        <f t="shared" si="35"/>
        <v>0</v>
      </c>
      <c r="X52" s="2799">
        <f t="shared" si="36"/>
        <v>0</v>
      </c>
      <c r="Y52" s="2799">
        <f t="shared" si="37"/>
        <v>0</v>
      </c>
      <c r="Z52" s="2801">
        <f t="shared" si="38"/>
        <v>0</v>
      </c>
      <c r="AA52" s="2799">
        <f t="shared" si="17"/>
        <v>0</v>
      </c>
      <c r="AB52" s="2799">
        <f t="shared" si="10"/>
        <v>0</v>
      </c>
      <c r="AC52" s="2800">
        <f t="shared" si="11"/>
        <v>0</v>
      </c>
      <c r="AD52" s="2799">
        <f t="shared" si="12"/>
        <v>0</v>
      </c>
      <c r="AE52" s="2799">
        <f t="shared" si="18"/>
        <v>0</v>
      </c>
      <c r="AG52" s="1937" t="s">
        <v>2709</v>
      </c>
      <c r="AH52" s="1941" t="s">
        <v>2545</v>
      </c>
      <c r="AI52" s="1942"/>
      <c r="AJ52" s="1969">
        <v>0.25</v>
      </c>
      <c r="AK52" s="1969">
        <v>0.25</v>
      </c>
      <c r="AL52" s="1969">
        <v>0.25</v>
      </c>
      <c r="AM52" s="1969">
        <v>0.25</v>
      </c>
      <c r="AN52" s="1978">
        <v>0.25</v>
      </c>
      <c r="AO52" s="1978">
        <v>0.33</v>
      </c>
      <c r="AP52" s="1978">
        <v>0.33</v>
      </c>
      <c r="AQ52" s="1970">
        <v>0.25</v>
      </c>
      <c r="AR52" s="1969">
        <v>0.25</v>
      </c>
      <c r="AS52" s="1944">
        <v>0.25</v>
      </c>
      <c r="AT52" s="1945">
        <v>0.25</v>
      </c>
      <c r="AU52" s="1944">
        <v>0.25</v>
      </c>
      <c r="AV52" s="1944">
        <v>0.25</v>
      </c>
      <c r="AX52" s="1937" t="s">
        <v>2709</v>
      </c>
      <c r="AY52" s="1941" t="s">
        <v>2545</v>
      </c>
      <c r="AZ52" s="1942" t="s">
        <v>2547</v>
      </c>
      <c r="BA52" s="1944"/>
      <c r="BB52" s="1944"/>
      <c r="BC52" s="1944"/>
      <c r="BD52" s="1944"/>
      <c r="BE52" s="1944"/>
      <c r="BF52" s="1944"/>
      <c r="BG52" s="1944"/>
      <c r="BH52" s="1951"/>
      <c r="BI52" s="1944"/>
      <c r="BJ52" s="1944"/>
      <c r="BK52" s="1945"/>
      <c r="BL52" s="1944"/>
      <c r="BM52" s="1944"/>
      <c r="BO52" s="1937" t="s">
        <v>2709</v>
      </c>
      <c r="BP52" s="1941" t="s">
        <v>2545</v>
      </c>
      <c r="BQ52" s="1942"/>
      <c r="BR52" s="1974"/>
      <c r="BS52" s="1974"/>
      <c r="BT52" s="1974"/>
      <c r="BU52" s="1974"/>
      <c r="BV52" s="1974"/>
      <c r="BW52" s="1974"/>
      <c r="BX52" s="1974"/>
      <c r="BY52" s="2464"/>
      <c r="BZ52" s="1974"/>
      <c r="CA52" s="1974"/>
      <c r="CB52" s="1974"/>
      <c r="CC52" s="1974"/>
      <c r="CD52" s="1974"/>
      <c r="CE52" s="2273"/>
      <c r="CG52" s="1937" t="s">
        <v>2709</v>
      </c>
      <c r="CH52" s="1941" t="s">
        <v>2545</v>
      </c>
      <c r="CI52" s="1942" t="s">
        <v>2547</v>
      </c>
      <c r="CJ52" s="2706">
        <f t="shared" si="19"/>
        <v>0</v>
      </c>
      <c r="CK52" s="2706">
        <f t="shared" si="20"/>
        <v>0</v>
      </c>
      <c r="CL52" s="2706">
        <f t="shared" si="21"/>
        <v>0</v>
      </c>
      <c r="CM52" s="2706">
        <f t="shared" si="22"/>
        <v>0</v>
      </c>
      <c r="CN52" s="2706">
        <f t="shared" si="23"/>
        <v>0</v>
      </c>
      <c r="CO52" s="2706">
        <f t="shared" si="24"/>
        <v>0</v>
      </c>
      <c r="CP52" s="2706">
        <f t="shared" si="25"/>
        <v>0</v>
      </c>
      <c r="CQ52" s="2707">
        <f t="shared" si="26"/>
        <v>0</v>
      </c>
      <c r="CR52" s="2706">
        <f t="shared" si="27"/>
        <v>0</v>
      </c>
      <c r="CS52" s="2706">
        <f t="shared" si="28"/>
        <v>0</v>
      </c>
      <c r="CT52" s="2706">
        <f t="shared" si="13"/>
        <v>0</v>
      </c>
      <c r="CU52" s="2706">
        <f t="shared" si="14"/>
        <v>0</v>
      </c>
      <c r="CV52" s="2706">
        <f t="shared" si="15"/>
        <v>0</v>
      </c>
      <c r="CX52" s="1937" t="s">
        <v>2709</v>
      </c>
      <c r="CY52" s="1941" t="s">
        <v>2545</v>
      </c>
      <c r="CZ52" s="1942" t="s">
        <v>2547</v>
      </c>
      <c r="DA52" s="2695">
        <f t="shared" si="29"/>
        <v>0</v>
      </c>
      <c r="DB52" s="2695"/>
      <c r="DC52" s="2695"/>
      <c r="DD52" s="2695"/>
      <c r="DE52" s="2695"/>
      <c r="DF52" s="2695"/>
      <c r="DG52" s="2695"/>
      <c r="DH52" s="2904"/>
      <c r="DI52" s="2695"/>
      <c r="DJ52" s="2695"/>
      <c r="DK52" s="2695"/>
      <c r="DL52" s="2695"/>
      <c r="DM52" s="2695"/>
    </row>
    <row r="53" spans="2:117" hidden="1">
      <c r="B53" s="1916" t="str">
        <f t="shared" si="68"/>
        <v>4.1.4</v>
      </c>
      <c r="C53" s="1938">
        <f t="shared" si="1"/>
        <v>0</v>
      </c>
      <c r="D53" s="1926" t="e">
        <f t="shared" si="69"/>
        <v>#DIV/0!</v>
      </c>
      <c r="E53" s="1936" t="e">
        <f t="shared" si="69"/>
        <v>#DIV/0!</v>
      </c>
      <c r="G53" s="1936" t="e">
        <f t="shared" si="64"/>
        <v>#DIV/0!</v>
      </c>
      <c r="H53" s="1936" t="e">
        <f t="shared" si="65"/>
        <v>#DIV/0!</v>
      </c>
      <c r="I53" s="1936"/>
      <c r="J53" s="1936"/>
      <c r="K53" s="1936">
        <f>IF(スコア!O53=0,0,1)</f>
        <v>0</v>
      </c>
      <c r="L53" s="1936">
        <f>IF(スコア!R53=0,0,1)</f>
        <v>0</v>
      </c>
      <c r="M53" s="1936" t="e">
        <f t="shared" si="66"/>
        <v>#DIV/0!</v>
      </c>
      <c r="N53" s="1936" t="e">
        <f t="shared" si="67"/>
        <v>#DIV/0!</v>
      </c>
      <c r="P53" s="1937" t="str">
        <f t="shared" si="6"/>
        <v>4.1.4</v>
      </c>
      <c r="Q53" s="1937" t="str">
        <f t="shared" si="7"/>
        <v xml:space="preserve"> Q1 4.1</v>
      </c>
      <c r="R53" s="1938">
        <f t="shared" si="8"/>
        <v>0</v>
      </c>
      <c r="S53" s="2799">
        <f t="shared" si="16"/>
        <v>0</v>
      </c>
      <c r="T53" s="2799">
        <f t="shared" si="32"/>
        <v>0</v>
      </c>
      <c r="U53" s="2799">
        <f t="shared" si="33"/>
        <v>0</v>
      </c>
      <c r="V53" s="2799">
        <f t="shared" si="34"/>
        <v>0</v>
      </c>
      <c r="W53" s="2799">
        <f t="shared" si="35"/>
        <v>0</v>
      </c>
      <c r="X53" s="2799">
        <f t="shared" si="36"/>
        <v>0</v>
      </c>
      <c r="Y53" s="2799">
        <f t="shared" si="37"/>
        <v>0</v>
      </c>
      <c r="Z53" s="2801">
        <f t="shared" si="38"/>
        <v>0</v>
      </c>
      <c r="AA53" s="2799">
        <f t="shared" si="17"/>
        <v>0</v>
      </c>
      <c r="AB53" s="2799">
        <f t="shared" si="10"/>
        <v>0</v>
      </c>
      <c r="AC53" s="2800">
        <f t="shared" si="11"/>
        <v>0</v>
      </c>
      <c r="AD53" s="2799">
        <f t="shared" si="12"/>
        <v>0</v>
      </c>
      <c r="AE53" s="2799">
        <f t="shared" si="18"/>
        <v>0</v>
      </c>
      <c r="AG53" s="1937" t="s">
        <v>2710</v>
      </c>
      <c r="AH53" s="1941" t="s">
        <v>2545</v>
      </c>
      <c r="AI53" s="1942" t="s">
        <v>2548</v>
      </c>
      <c r="AJ53" s="1974">
        <v>0.25</v>
      </c>
      <c r="AK53" s="1974">
        <v>0.25</v>
      </c>
      <c r="AL53" s="1974">
        <v>0.25</v>
      </c>
      <c r="AM53" s="1974">
        <v>0.25</v>
      </c>
      <c r="AN53" s="1974">
        <v>0.25</v>
      </c>
      <c r="AO53" s="1974"/>
      <c r="AP53" s="1974"/>
      <c r="AQ53" s="1975">
        <v>0.25</v>
      </c>
      <c r="AR53" s="1974">
        <v>0.25</v>
      </c>
      <c r="AS53" s="1944">
        <v>0.25</v>
      </c>
      <c r="AT53" s="1945">
        <v>0.25</v>
      </c>
      <c r="AU53" s="1944">
        <v>0.25</v>
      </c>
      <c r="AV53" s="1944">
        <v>0.25</v>
      </c>
      <c r="AX53" s="1937" t="s">
        <v>2710</v>
      </c>
      <c r="AY53" s="1941" t="s">
        <v>2545</v>
      </c>
      <c r="AZ53" s="1942" t="s">
        <v>2548</v>
      </c>
      <c r="BA53" s="1944"/>
      <c r="BB53" s="1944"/>
      <c r="BC53" s="1944"/>
      <c r="BD53" s="1944"/>
      <c r="BE53" s="1944"/>
      <c r="BF53" s="1944"/>
      <c r="BG53" s="1944"/>
      <c r="BH53" s="1951"/>
      <c r="BI53" s="1944"/>
      <c r="BJ53" s="1944"/>
      <c r="BK53" s="1945"/>
      <c r="BL53" s="1944"/>
      <c r="BM53" s="1944"/>
      <c r="BO53" s="1937" t="s">
        <v>2710</v>
      </c>
      <c r="BP53" s="1941" t="s">
        <v>2545</v>
      </c>
      <c r="BQ53" s="1942"/>
      <c r="BR53" s="1974"/>
      <c r="BS53" s="1974"/>
      <c r="BT53" s="1974"/>
      <c r="BU53" s="1974"/>
      <c r="BV53" s="1974"/>
      <c r="BW53" s="1974"/>
      <c r="BX53" s="1974"/>
      <c r="BY53" s="2464"/>
      <c r="BZ53" s="1974"/>
      <c r="CA53" s="1974"/>
      <c r="CB53" s="1974"/>
      <c r="CC53" s="1974"/>
      <c r="CD53" s="1974"/>
      <c r="CE53" s="2273"/>
      <c r="CG53" s="1937" t="s">
        <v>2710</v>
      </c>
      <c r="CH53" s="1941" t="s">
        <v>2545</v>
      </c>
      <c r="CI53" s="1942" t="s">
        <v>2548</v>
      </c>
      <c r="CJ53" s="2706">
        <f t="shared" si="19"/>
        <v>0</v>
      </c>
      <c r="CK53" s="2706">
        <f t="shared" si="20"/>
        <v>0</v>
      </c>
      <c r="CL53" s="2706">
        <f t="shared" si="21"/>
        <v>0</v>
      </c>
      <c r="CM53" s="2706">
        <f t="shared" si="22"/>
        <v>0</v>
      </c>
      <c r="CN53" s="2706">
        <f t="shared" si="23"/>
        <v>0</v>
      </c>
      <c r="CO53" s="2706">
        <f t="shared" si="24"/>
        <v>0</v>
      </c>
      <c r="CP53" s="2706">
        <f t="shared" si="25"/>
        <v>0</v>
      </c>
      <c r="CQ53" s="2707">
        <f t="shared" si="26"/>
        <v>0</v>
      </c>
      <c r="CR53" s="2706">
        <f t="shared" si="27"/>
        <v>0</v>
      </c>
      <c r="CS53" s="2706">
        <f t="shared" si="28"/>
        <v>0</v>
      </c>
      <c r="CT53" s="2706">
        <f t="shared" si="13"/>
        <v>0</v>
      </c>
      <c r="CU53" s="2706">
        <f t="shared" si="14"/>
        <v>0</v>
      </c>
      <c r="CV53" s="2706">
        <f t="shared" si="15"/>
        <v>0</v>
      </c>
      <c r="CX53" s="1937" t="s">
        <v>2710</v>
      </c>
      <c r="CY53" s="1941" t="s">
        <v>2545</v>
      </c>
      <c r="CZ53" s="1942" t="s">
        <v>2548</v>
      </c>
      <c r="DA53" s="2695">
        <f t="shared" si="29"/>
        <v>0</v>
      </c>
      <c r="DB53" s="2695"/>
      <c r="DC53" s="2695"/>
      <c r="DD53" s="2695"/>
      <c r="DE53" s="2695"/>
      <c r="DF53" s="2695"/>
      <c r="DG53" s="2695"/>
      <c r="DH53" s="2904"/>
      <c r="DI53" s="2695"/>
      <c r="DJ53" s="2695"/>
      <c r="DK53" s="2695"/>
      <c r="DL53" s="2695"/>
      <c r="DM53" s="2695"/>
    </row>
    <row r="54" spans="2:117">
      <c r="B54" s="1916">
        <f t="shared" si="68"/>
        <v>4.2</v>
      </c>
      <c r="C54" s="1938" t="str">
        <f t="shared" si="1"/>
        <v>換気</v>
      </c>
      <c r="D54" s="1935" t="e">
        <f>IF(I$48=0,0,G54/I$48)</f>
        <v>#DIV/0!</v>
      </c>
      <c r="E54" s="1936" t="e">
        <f>IF(J$48=0,0,H54/J$48)</f>
        <v>#DIV/0!</v>
      </c>
      <c r="G54" s="1936" t="e">
        <f t="shared" si="64"/>
        <v>#DIV/0!</v>
      </c>
      <c r="H54" s="1936" t="e">
        <f t="shared" si="65"/>
        <v>#DIV/0!</v>
      </c>
      <c r="I54" s="1936" t="e">
        <f>SUM(G55:G58)</f>
        <v>#DIV/0!</v>
      </c>
      <c r="J54" s="1936" t="e">
        <f>SUM(H55:H58)</f>
        <v>#DIV/0!</v>
      </c>
      <c r="K54" s="1936" t="e">
        <f>IF(スコア!O54=0,0,1)</f>
        <v>#DIV/0!</v>
      </c>
      <c r="L54" s="1936" t="e">
        <f>IF(スコア!R54=0,0,1)</f>
        <v>#DIV/0!</v>
      </c>
      <c r="M54" s="1936" t="e">
        <f t="shared" si="66"/>
        <v>#DIV/0!</v>
      </c>
      <c r="N54" s="1936" t="e">
        <f t="shared" si="67"/>
        <v>#DIV/0!</v>
      </c>
      <c r="P54" s="1937">
        <f t="shared" si="6"/>
        <v>4.2</v>
      </c>
      <c r="Q54" s="1937" t="str">
        <f t="shared" si="7"/>
        <v xml:space="preserve"> Q1 4</v>
      </c>
      <c r="R54" s="1938" t="str">
        <f t="shared" si="8"/>
        <v>換気</v>
      </c>
      <c r="S54" s="2799">
        <f t="shared" si="16"/>
        <v>0.3</v>
      </c>
      <c r="T54" s="2799">
        <f t="shared" si="32"/>
        <v>0.3</v>
      </c>
      <c r="U54" s="2799">
        <f t="shared" si="33"/>
        <v>0.3</v>
      </c>
      <c r="V54" s="2799">
        <f t="shared" si="34"/>
        <v>0.3</v>
      </c>
      <c r="W54" s="2799">
        <f t="shared" si="35"/>
        <v>0.3</v>
      </c>
      <c r="X54" s="2799">
        <f t="shared" si="36"/>
        <v>0.3</v>
      </c>
      <c r="Y54" s="2799">
        <f t="shared" si="37"/>
        <v>0.4</v>
      </c>
      <c r="Z54" s="2801">
        <f t="shared" si="38"/>
        <v>0.3</v>
      </c>
      <c r="AA54" s="2799">
        <f t="shared" si="17"/>
        <v>0.3</v>
      </c>
      <c r="AB54" s="2799">
        <f t="shared" si="10"/>
        <v>0.3</v>
      </c>
      <c r="AC54" s="2800">
        <f t="shared" si="11"/>
        <v>0.375</v>
      </c>
      <c r="AD54" s="2799">
        <f t="shared" si="12"/>
        <v>0.375</v>
      </c>
      <c r="AE54" s="2799">
        <f t="shared" si="18"/>
        <v>0.375</v>
      </c>
      <c r="AG54" s="1937">
        <v>4.2</v>
      </c>
      <c r="AH54" s="1941" t="s">
        <v>2544</v>
      </c>
      <c r="AI54" s="1938" t="s">
        <v>1000</v>
      </c>
      <c r="AJ54" s="1974">
        <v>0.3</v>
      </c>
      <c r="AK54" s="1974">
        <v>0.3</v>
      </c>
      <c r="AL54" s="1974">
        <v>0.3</v>
      </c>
      <c r="AM54" s="1974">
        <v>0.3</v>
      </c>
      <c r="AN54" s="1974">
        <v>0.3</v>
      </c>
      <c r="AO54" s="1974">
        <v>0.3</v>
      </c>
      <c r="AP54" s="1974">
        <v>0.4</v>
      </c>
      <c r="AQ54" s="1975">
        <v>0.3</v>
      </c>
      <c r="AR54" s="1974">
        <v>0.3</v>
      </c>
      <c r="AS54" s="1944">
        <v>0.3</v>
      </c>
      <c r="AT54" s="1945">
        <v>0.375</v>
      </c>
      <c r="AU54" s="1944">
        <v>0.375</v>
      </c>
      <c r="AV54" s="1944">
        <v>0.375</v>
      </c>
      <c r="AX54" s="1937">
        <v>4.2</v>
      </c>
      <c r="AY54" s="1941" t="s">
        <v>2544</v>
      </c>
      <c r="AZ54" s="1938" t="s">
        <v>1000</v>
      </c>
      <c r="BA54" s="1944">
        <v>0.3</v>
      </c>
      <c r="BB54" s="1944">
        <v>0.3</v>
      </c>
      <c r="BC54" s="1944">
        <v>0.3</v>
      </c>
      <c r="BD54" s="1944">
        <v>0.3</v>
      </c>
      <c r="BE54" s="1944">
        <v>0.3</v>
      </c>
      <c r="BF54" s="1944">
        <v>0.3</v>
      </c>
      <c r="BG54" s="1944">
        <v>0.4</v>
      </c>
      <c r="BH54" s="1951">
        <v>0.3</v>
      </c>
      <c r="BI54" s="1944">
        <v>0.3</v>
      </c>
      <c r="BJ54" s="1944">
        <v>0.3</v>
      </c>
      <c r="BK54" s="1945">
        <v>0.375</v>
      </c>
      <c r="BL54" s="1944">
        <v>0.375</v>
      </c>
      <c r="BM54" s="1944">
        <v>0.375</v>
      </c>
      <c r="BO54" s="1937">
        <v>4.2</v>
      </c>
      <c r="BP54" s="1941" t="s">
        <v>2544</v>
      </c>
      <c r="BQ54" s="1938" t="s">
        <v>1000</v>
      </c>
      <c r="BR54" s="1974">
        <v>0.3</v>
      </c>
      <c r="BS54" s="1974">
        <v>0.3</v>
      </c>
      <c r="BT54" s="1974">
        <v>0.3</v>
      </c>
      <c r="BU54" s="1974">
        <v>0.3</v>
      </c>
      <c r="BV54" s="1974">
        <v>0.3</v>
      </c>
      <c r="BW54" s="1974">
        <v>0.3</v>
      </c>
      <c r="BX54" s="1974">
        <v>0.4</v>
      </c>
      <c r="BY54" s="2463">
        <v>0.3</v>
      </c>
      <c r="BZ54" s="1974">
        <v>0.3</v>
      </c>
      <c r="CA54" s="1974">
        <v>0.3</v>
      </c>
      <c r="CB54" s="1976">
        <v>0.375</v>
      </c>
      <c r="CC54" s="1974">
        <v>0.375</v>
      </c>
      <c r="CD54" s="1974">
        <v>0.375</v>
      </c>
      <c r="CE54" s="2273"/>
      <c r="CG54" s="1937">
        <v>4.2</v>
      </c>
      <c r="CH54" s="1941" t="s">
        <v>2544</v>
      </c>
      <c r="CI54" s="1938" t="s">
        <v>1000</v>
      </c>
      <c r="CJ54" s="2706">
        <f t="shared" si="19"/>
        <v>0.3</v>
      </c>
      <c r="CK54" s="2706">
        <f t="shared" si="20"/>
        <v>0.3</v>
      </c>
      <c r="CL54" s="2706">
        <f t="shared" si="21"/>
        <v>0.3</v>
      </c>
      <c r="CM54" s="2706">
        <f t="shared" si="22"/>
        <v>0.3</v>
      </c>
      <c r="CN54" s="2706">
        <f t="shared" si="23"/>
        <v>0.3</v>
      </c>
      <c r="CO54" s="2706">
        <f t="shared" si="24"/>
        <v>0.3</v>
      </c>
      <c r="CP54" s="2706">
        <f t="shared" si="25"/>
        <v>0.4</v>
      </c>
      <c r="CQ54" s="2709">
        <f t="shared" si="26"/>
        <v>0.3</v>
      </c>
      <c r="CR54" s="2706">
        <f t="shared" si="27"/>
        <v>0.3</v>
      </c>
      <c r="CS54" s="2706">
        <f t="shared" si="28"/>
        <v>0.3</v>
      </c>
      <c r="CT54" s="2708">
        <f t="shared" si="13"/>
        <v>0.375</v>
      </c>
      <c r="CU54" s="2706">
        <f t="shared" si="14"/>
        <v>0.375</v>
      </c>
      <c r="CV54" s="2706">
        <f t="shared" si="15"/>
        <v>0.375</v>
      </c>
      <c r="CX54" s="1937">
        <v>4.2</v>
      </c>
      <c r="CY54" s="1941" t="s">
        <v>2544</v>
      </c>
      <c r="CZ54" s="1938" t="s">
        <v>1000</v>
      </c>
      <c r="DA54" s="2695">
        <f t="shared" si="29"/>
        <v>0.3</v>
      </c>
      <c r="DB54" s="2695"/>
      <c r="DC54" s="2695"/>
      <c r="DD54" s="2695"/>
      <c r="DE54" s="2695"/>
      <c r="DF54" s="2695"/>
      <c r="DG54" s="2695"/>
      <c r="DH54" s="2912"/>
      <c r="DI54" s="2695"/>
      <c r="DJ54" s="2695"/>
      <c r="DK54" s="2905"/>
      <c r="DL54" s="2695"/>
      <c r="DM54" s="2695"/>
    </row>
    <row r="55" spans="2:117">
      <c r="B55" s="1916" t="str">
        <f t="shared" si="68"/>
        <v>4.2.1</v>
      </c>
      <c r="C55" s="1938" t="str">
        <f t="shared" si="1"/>
        <v>換気量</v>
      </c>
      <c r="D55" s="1926" t="e">
        <f t="shared" ref="D55:E58" si="70">IF(I$54&gt;0,G55/I$54,0)</f>
        <v>#DIV/0!</v>
      </c>
      <c r="E55" s="1936" t="e">
        <f t="shared" si="70"/>
        <v>#DIV/0!</v>
      </c>
      <c r="G55" s="1936" t="e">
        <f t="shared" si="64"/>
        <v>#DIV/0!</v>
      </c>
      <c r="H55" s="1936" t="e">
        <f t="shared" si="65"/>
        <v>#DIV/0!</v>
      </c>
      <c r="I55" s="1936"/>
      <c r="J55" s="1936"/>
      <c r="K55" s="1936">
        <f>IF(スコア!O55=0,0,1)</f>
        <v>1</v>
      </c>
      <c r="L55" s="1936">
        <f>IF(スコア!R55=0,0,1)</f>
        <v>1</v>
      </c>
      <c r="M55" s="1936" t="e">
        <f t="shared" si="66"/>
        <v>#DIV/0!</v>
      </c>
      <c r="N55" s="1936" t="e">
        <f t="shared" si="67"/>
        <v>#DIV/0!</v>
      </c>
      <c r="P55" s="1937" t="str">
        <f t="shared" si="6"/>
        <v>4.2.1</v>
      </c>
      <c r="Q55" s="1937" t="str">
        <f t="shared" si="7"/>
        <v xml:space="preserve"> Q1 4.2</v>
      </c>
      <c r="R55" s="1938" t="str">
        <f t="shared" si="8"/>
        <v>換気量</v>
      </c>
      <c r="S55" s="2799">
        <f t="shared" si="16"/>
        <v>0.33333333333333331</v>
      </c>
      <c r="T55" s="2799">
        <f t="shared" si="32"/>
        <v>0.33333333333333331</v>
      </c>
      <c r="U55" s="2799">
        <f t="shared" si="33"/>
        <v>0.5</v>
      </c>
      <c r="V55" s="2799">
        <f t="shared" si="34"/>
        <v>0.5</v>
      </c>
      <c r="W55" s="2799">
        <f t="shared" si="35"/>
        <v>0.5</v>
      </c>
      <c r="X55" s="2799">
        <f t="shared" si="36"/>
        <v>0.5</v>
      </c>
      <c r="Y55" s="2799">
        <f t="shared" si="37"/>
        <v>0.5</v>
      </c>
      <c r="Z55" s="2801">
        <f t="shared" si="38"/>
        <v>0.33333333333333331</v>
      </c>
      <c r="AA55" s="2799">
        <f t="shared" si="17"/>
        <v>0.33333333333333331</v>
      </c>
      <c r="AB55" s="2799">
        <f t="shared" si="10"/>
        <v>0.33333333333333331</v>
      </c>
      <c r="AC55" s="2800">
        <f t="shared" si="11"/>
        <v>0.33333333333333331</v>
      </c>
      <c r="AD55" s="2799">
        <f t="shared" si="12"/>
        <v>0.33333333333333331</v>
      </c>
      <c r="AE55" s="2799">
        <f t="shared" si="18"/>
        <v>0.33333333333333331</v>
      </c>
      <c r="AG55" s="1937" t="s">
        <v>2711</v>
      </c>
      <c r="AH55" s="1941" t="s">
        <v>2549</v>
      </c>
      <c r="AI55" s="1942" t="s">
        <v>2550</v>
      </c>
      <c r="AJ55" s="1974">
        <v>0.25</v>
      </c>
      <c r="AK55" s="1974">
        <v>0.25</v>
      </c>
      <c r="AL55" s="1977">
        <v>0.33333333333333331</v>
      </c>
      <c r="AM55" s="1977">
        <v>0.33333333333333331</v>
      </c>
      <c r="AN55" s="1977">
        <v>0.33333333333333331</v>
      </c>
      <c r="AO55" s="1977">
        <v>0.33333333333333331</v>
      </c>
      <c r="AP55" s="1974"/>
      <c r="AQ55" s="1977">
        <v>0.33333333333333331</v>
      </c>
      <c r="AR55" s="1974">
        <v>0.25</v>
      </c>
      <c r="AS55" s="1944">
        <v>0.25</v>
      </c>
      <c r="AT55" s="1945">
        <v>0.25</v>
      </c>
      <c r="AU55" s="1944">
        <v>0.25</v>
      </c>
      <c r="AV55" s="1944"/>
      <c r="AX55" s="1937" t="s">
        <v>2711</v>
      </c>
      <c r="AY55" s="1941" t="s">
        <v>2549</v>
      </c>
      <c r="AZ55" s="1942" t="s">
        <v>2550</v>
      </c>
      <c r="BA55" s="1944">
        <v>0.33333333333333331</v>
      </c>
      <c r="BB55" s="1944">
        <v>0.33333333333333331</v>
      </c>
      <c r="BC55" s="1944">
        <v>0.5</v>
      </c>
      <c r="BD55" s="1944">
        <v>0.5</v>
      </c>
      <c r="BE55" s="1944">
        <v>0.5</v>
      </c>
      <c r="BF55" s="1944">
        <v>0.5</v>
      </c>
      <c r="BG55" s="1944">
        <v>0.5</v>
      </c>
      <c r="BH55" s="1951">
        <v>0.5</v>
      </c>
      <c r="BI55" s="1944">
        <v>0.33333333333333331</v>
      </c>
      <c r="BJ55" s="1944">
        <v>0.33333333333333331</v>
      </c>
      <c r="BK55" s="1945">
        <v>0.33333333333333331</v>
      </c>
      <c r="BL55" s="1944">
        <v>0.33333333333333331</v>
      </c>
      <c r="BM55" s="1944">
        <v>0.33333333333333331</v>
      </c>
      <c r="BO55" s="1937" t="s">
        <v>2711</v>
      </c>
      <c r="BP55" s="1941" t="s">
        <v>2549</v>
      </c>
      <c r="BQ55" s="1942" t="s">
        <v>2550</v>
      </c>
      <c r="BR55" s="2926">
        <f>0.25/(0.25+0.25+0.25)</f>
        <v>0.33333333333333331</v>
      </c>
      <c r="BS55" s="2926">
        <f t="shared" ref="BS55:BS57" si="71">0.25/(0.25+0.25+0.25)</f>
        <v>0.33333333333333331</v>
      </c>
      <c r="BT55" s="2926">
        <f>0.33/(0.33+0.33)</f>
        <v>0.5</v>
      </c>
      <c r="BU55" s="2926">
        <f>0.33/(0.33+0.33)</f>
        <v>0.5</v>
      </c>
      <c r="BV55" s="2926">
        <f>0.33/(0.33+0.33)</f>
        <v>0.5</v>
      </c>
      <c r="BW55" s="2926">
        <f>0.33/(0.33+0.33)</f>
        <v>0.5</v>
      </c>
      <c r="BX55" s="1974">
        <v>0.5</v>
      </c>
      <c r="BY55" s="2926">
        <f t="shared" ref="BY55:CD57" si="72">0.25/(0.25+0.25+0.25)</f>
        <v>0.33333333333333331</v>
      </c>
      <c r="BZ55" s="2926">
        <f t="shared" si="72"/>
        <v>0.33333333333333331</v>
      </c>
      <c r="CA55" s="2926">
        <f t="shared" si="72"/>
        <v>0.33333333333333331</v>
      </c>
      <c r="CB55" s="2926">
        <f t="shared" si="72"/>
        <v>0.33333333333333331</v>
      </c>
      <c r="CC55" s="2926">
        <f t="shared" si="72"/>
        <v>0.33333333333333331</v>
      </c>
      <c r="CD55" s="2926">
        <f t="shared" si="72"/>
        <v>0.33333333333333331</v>
      </c>
      <c r="CE55" s="2273"/>
      <c r="CG55" s="1937" t="s">
        <v>1621</v>
      </c>
      <c r="CH55" s="1941" t="s">
        <v>2549</v>
      </c>
      <c r="CI55" s="1942" t="s">
        <v>2550</v>
      </c>
      <c r="CJ55" s="2706">
        <f t="shared" si="19"/>
        <v>0.33333333333333331</v>
      </c>
      <c r="CK55" s="2706">
        <f t="shared" si="20"/>
        <v>0.33333333333333331</v>
      </c>
      <c r="CL55" s="2706">
        <f t="shared" si="21"/>
        <v>0.5</v>
      </c>
      <c r="CM55" s="2706">
        <f t="shared" si="22"/>
        <v>0.5</v>
      </c>
      <c r="CN55" s="2706">
        <f t="shared" si="23"/>
        <v>0.5</v>
      </c>
      <c r="CO55" s="2706">
        <f t="shared" si="24"/>
        <v>0.5</v>
      </c>
      <c r="CP55" s="2706">
        <f t="shared" si="25"/>
        <v>0.5</v>
      </c>
      <c r="CQ55" s="2707">
        <f t="shared" si="26"/>
        <v>0.33333333333333331</v>
      </c>
      <c r="CR55" s="2706">
        <f t="shared" si="27"/>
        <v>0.33333333333333331</v>
      </c>
      <c r="CS55" s="2706">
        <f t="shared" si="28"/>
        <v>0.33333333333333331</v>
      </c>
      <c r="CT55" s="2708">
        <f t="shared" si="13"/>
        <v>0.33333333333333331</v>
      </c>
      <c r="CU55" s="2706">
        <f t="shared" si="14"/>
        <v>0.33333333333333331</v>
      </c>
      <c r="CV55" s="2706">
        <f t="shared" si="15"/>
        <v>0.33333333333333331</v>
      </c>
      <c r="CX55" s="1937" t="s">
        <v>1621</v>
      </c>
      <c r="CY55" s="1941" t="s">
        <v>2549</v>
      </c>
      <c r="CZ55" s="1942" t="s">
        <v>2550</v>
      </c>
      <c r="DA55" s="2695">
        <f t="shared" si="29"/>
        <v>0.33333333333333331</v>
      </c>
      <c r="DB55" s="2695"/>
      <c r="DC55" s="2695"/>
      <c r="DD55" s="2695"/>
      <c r="DE55" s="2695"/>
      <c r="DF55" s="2695"/>
      <c r="DG55" s="2695"/>
      <c r="DH55" s="2904"/>
      <c r="DI55" s="2695"/>
      <c r="DJ55" s="2695"/>
      <c r="DK55" s="2905"/>
      <c r="DL55" s="2695"/>
      <c r="DM55" s="2695"/>
    </row>
    <row r="56" spans="2:117">
      <c r="B56" s="1916" t="str">
        <f t="shared" si="68"/>
        <v>4.2.2</v>
      </c>
      <c r="C56" s="1938" t="str">
        <f t="shared" si="1"/>
        <v>自然換気性能</v>
      </c>
      <c r="D56" s="1926" t="e">
        <f t="shared" si="70"/>
        <v>#DIV/0!</v>
      </c>
      <c r="E56" s="1936" t="e">
        <f t="shared" si="70"/>
        <v>#DIV/0!</v>
      </c>
      <c r="G56" s="1936" t="e">
        <f t="shared" si="64"/>
        <v>#DIV/0!</v>
      </c>
      <c r="H56" s="1936" t="e">
        <f t="shared" si="65"/>
        <v>#DIV/0!</v>
      </c>
      <c r="I56" s="1936"/>
      <c r="J56" s="1936"/>
      <c r="K56" s="1936">
        <f>IF(スコア!O56=0,0,1)</f>
        <v>1</v>
      </c>
      <c r="L56" s="1936">
        <f>IF(スコア!R56=0,0,1)</f>
        <v>1</v>
      </c>
      <c r="M56" s="1936" t="e">
        <f t="shared" si="66"/>
        <v>#DIV/0!</v>
      </c>
      <c r="N56" s="1936" t="e">
        <f t="shared" si="67"/>
        <v>#DIV/0!</v>
      </c>
      <c r="P56" s="1937" t="str">
        <f t="shared" si="6"/>
        <v>4.2.2</v>
      </c>
      <c r="Q56" s="1937" t="str">
        <f t="shared" si="7"/>
        <v xml:space="preserve"> Q1 4.2</v>
      </c>
      <c r="R56" s="1938" t="str">
        <f t="shared" si="8"/>
        <v>自然換気性能</v>
      </c>
      <c r="S56" s="2799">
        <f t="shared" si="16"/>
        <v>0.33333333333333331</v>
      </c>
      <c r="T56" s="2799">
        <f t="shared" si="32"/>
        <v>0.33333333333333331</v>
      </c>
      <c r="U56" s="2799">
        <f t="shared" si="33"/>
        <v>0</v>
      </c>
      <c r="V56" s="2799">
        <f t="shared" si="34"/>
        <v>0</v>
      </c>
      <c r="W56" s="2799">
        <f t="shared" si="35"/>
        <v>0</v>
      </c>
      <c r="X56" s="2799">
        <f t="shared" si="36"/>
        <v>0</v>
      </c>
      <c r="Y56" s="2799">
        <f t="shared" si="37"/>
        <v>0</v>
      </c>
      <c r="Z56" s="2801">
        <f t="shared" si="38"/>
        <v>0.33333333333333331</v>
      </c>
      <c r="AA56" s="2799">
        <f t="shared" si="17"/>
        <v>0.33333333333333331</v>
      </c>
      <c r="AB56" s="2799">
        <f t="shared" si="10"/>
        <v>0.33333333333333331</v>
      </c>
      <c r="AC56" s="2800">
        <f t="shared" si="11"/>
        <v>0.33333333333333331</v>
      </c>
      <c r="AD56" s="2799">
        <f t="shared" si="12"/>
        <v>0.33333333333333331</v>
      </c>
      <c r="AE56" s="2799">
        <f t="shared" si="18"/>
        <v>0.33333333333333331</v>
      </c>
      <c r="AG56" s="1937" t="s">
        <v>2712</v>
      </c>
      <c r="AH56" s="1941" t="s">
        <v>2549</v>
      </c>
      <c r="AI56" s="1942" t="s">
        <v>2551</v>
      </c>
      <c r="AJ56" s="1974">
        <v>0.25</v>
      </c>
      <c r="AK56" s="1974">
        <v>0.25</v>
      </c>
      <c r="AL56" s="1974"/>
      <c r="AM56" s="1974"/>
      <c r="AN56" s="1974"/>
      <c r="AO56" s="1974"/>
      <c r="AP56" s="1974"/>
      <c r="AQ56" s="1975"/>
      <c r="AR56" s="1974">
        <v>0.25</v>
      </c>
      <c r="AS56" s="1944">
        <v>0.25</v>
      </c>
      <c r="AT56" s="1945">
        <v>0.25</v>
      </c>
      <c r="AU56" s="1944">
        <v>0.25</v>
      </c>
      <c r="AV56" s="1944">
        <v>0.33</v>
      </c>
      <c r="AX56" s="1937" t="s">
        <v>2712</v>
      </c>
      <c r="AY56" s="1941" t="s">
        <v>2549</v>
      </c>
      <c r="AZ56" s="1942" t="s">
        <v>2551</v>
      </c>
      <c r="BA56" s="1944">
        <v>0.33333333333333331</v>
      </c>
      <c r="BB56" s="1944">
        <v>0.33333333333333331</v>
      </c>
      <c r="BC56" s="1944"/>
      <c r="BD56" s="1944"/>
      <c r="BE56" s="1944"/>
      <c r="BF56" s="1944"/>
      <c r="BG56" s="1944"/>
      <c r="BH56" s="1951"/>
      <c r="BI56" s="1944">
        <v>0.33333333333333331</v>
      </c>
      <c r="BJ56" s="1944">
        <v>0.33333333333333331</v>
      </c>
      <c r="BK56" s="1945">
        <v>0.33333333333333331</v>
      </c>
      <c r="BL56" s="1944">
        <v>0.33333333333333331</v>
      </c>
      <c r="BM56" s="1944">
        <v>0.33333333333333331</v>
      </c>
      <c r="BO56" s="1937" t="s">
        <v>2712</v>
      </c>
      <c r="BP56" s="1941" t="s">
        <v>2549</v>
      </c>
      <c r="BQ56" s="1942" t="s">
        <v>2551</v>
      </c>
      <c r="BR56" s="2926">
        <f t="shared" ref="BR56:BR57" si="73">0.25/(0.25+0.25+0.25)</f>
        <v>0.33333333333333331</v>
      </c>
      <c r="BS56" s="2926">
        <f t="shared" si="71"/>
        <v>0.33333333333333331</v>
      </c>
      <c r="BT56" s="1974"/>
      <c r="BU56" s="1974"/>
      <c r="BV56" s="1974"/>
      <c r="BW56" s="1974"/>
      <c r="BX56" s="1974"/>
      <c r="BY56" s="2926">
        <f t="shared" si="72"/>
        <v>0.33333333333333331</v>
      </c>
      <c r="BZ56" s="2926">
        <f t="shared" si="72"/>
        <v>0.33333333333333331</v>
      </c>
      <c r="CA56" s="2926">
        <f t="shared" si="72"/>
        <v>0.33333333333333331</v>
      </c>
      <c r="CB56" s="2926">
        <f t="shared" si="72"/>
        <v>0.33333333333333331</v>
      </c>
      <c r="CC56" s="2926">
        <f t="shared" si="72"/>
        <v>0.33333333333333331</v>
      </c>
      <c r="CD56" s="2926">
        <f t="shared" si="72"/>
        <v>0.33333333333333331</v>
      </c>
      <c r="CE56" s="2273"/>
      <c r="CG56" s="1937" t="s">
        <v>1622</v>
      </c>
      <c r="CH56" s="1941" t="s">
        <v>2549</v>
      </c>
      <c r="CI56" s="1942" t="s">
        <v>2551</v>
      </c>
      <c r="CJ56" s="2706">
        <f t="shared" si="19"/>
        <v>0.33333333333333331</v>
      </c>
      <c r="CK56" s="2706">
        <f t="shared" si="20"/>
        <v>0.33333333333333331</v>
      </c>
      <c r="CL56" s="2706">
        <f t="shared" si="21"/>
        <v>0</v>
      </c>
      <c r="CM56" s="2706">
        <f t="shared" si="22"/>
        <v>0</v>
      </c>
      <c r="CN56" s="2706">
        <f t="shared" si="23"/>
        <v>0</v>
      </c>
      <c r="CO56" s="2706">
        <f t="shared" si="24"/>
        <v>0</v>
      </c>
      <c r="CP56" s="2706">
        <f t="shared" si="25"/>
        <v>0</v>
      </c>
      <c r="CQ56" s="2709">
        <f t="shared" si="26"/>
        <v>0.33333333333333331</v>
      </c>
      <c r="CR56" s="2706">
        <f t="shared" si="27"/>
        <v>0.33333333333333331</v>
      </c>
      <c r="CS56" s="2706">
        <f t="shared" si="28"/>
        <v>0.33333333333333331</v>
      </c>
      <c r="CT56" s="2708">
        <f t="shared" si="13"/>
        <v>0.33333333333333331</v>
      </c>
      <c r="CU56" s="2706">
        <f t="shared" si="14"/>
        <v>0.33333333333333331</v>
      </c>
      <c r="CV56" s="2706">
        <f t="shared" si="15"/>
        <v>0.33333333333333331</v>
      </c>
      <c r="CX56" s="1937" t="s">
        <v>1622</v>
      </c>
      <c r="CY56" s="1941" t="s">
        <v>2549</v>
      </c>
      <c r="CZ56" s="1942" t="s">
        <v>2551</v>
      </c>
      <c r="DA56" s="2695">
        <f t="shared" si="29"/>
        <v>0.33333333333333331</v>
      </c>
      <c r="DB56" s="2695"/>
      <c r="DC56" s="2695"/>
      <c r="DD56" s="2695"/>
      <c r="DE56" s="2695"/>
      <c r="DF56" s="2695"/>
      <c r="DG56" s="2695"/>
      <c r="DH56" s="2912"/>
      <c r="DI56" s="2695"/>
      <c r="DJ56" s="2695"/>
      <c r="DK56" s="2905"/>
      <c r="DL56" s="2695"/>
      <c r="DM56" s="2695"/>
    </row>
    <row r="57" spans="2:117">
      <c r="B57" s="1916" t="str">
        <f t="shared" si="68"/>
        <v>4.2.3</v>
      </c>
      <c r="C57" s="1938" t="str">
        <f t="shared" si="1"/>
        <v>取り入れ外気への配慮</v>
      </c>
      <c r="D57" s="1926" t="e">
        <f t="shared" si="70"/>
        <v>#DIV/0!</v>
      </c>
      <c r="E57" s="1936" t="e">
        <f t="shared" si="70"/>
        <v>#DIV/0!</v>
      </c>
      <c r="G57" s="1936" t="e">
        <f t="shared" si="64"/>
        <v>#DIV/0!</v>
      </c>
      <c r="H57" s="1936" t="e">
        <f t="shared" si="65"/>
        <v>#DIV/0!</v>
      </c>
      <c r="I57" s="1936"/>
      <c r="J57" s="1936"/>
      <c r="K57" s="1936">
        <f>IF(スコア!O57=0,0,1)</f>
        <v>1</v>
      </c>
      <c r="L57" s="1936">
        <f>IF(スコア!R57=0,0,1)</f>
        <v>1</v>
      </c>
      <c r="M57" s="1936" t="e">
        <f t="shared" si="66"/>
        <v>#DIV/0!</v>
      </c>
      <c r="N57" s="1936" t="e">
        <f t="shared" si="67"/>
        <v>#DIV/0!</v>
      </c>
      <c r="P57" s="1937" t="str">
        <f t="shared" si="6"/>
        <v>4.2.3</v>
      </c>
      <c r="Q57" s="1937" t="str">
        <f t="shared" si="7"/>
        <v xml:space="preserve"> Q1 4.2</v>
      </c>
      <c r="R57" s="1938" t="str">
        <f t="shared" si="8"/>
        <v>取り入れ外気への配慮</v>
      </c>
      <c r="S57" s="2799">
        <f t="shared" si="16"/>
        <v>0.33333333333333331</v>
      </c>
      <c r="T57" s="2799">
        <f t="shared" si="32"/>
        <v>0.33333333333333331</v>
      </c>
      <c r="U57" s="2799">
        <f t="shared" si="33"/>
        <v>0.5</v>
      </c>
      <c r="V57" s="2799">
        <f t="shared" si="34"/>
        <v>0.5</v>
      </c>
      <c r="W57" s="2799">
        <f t="shared" si="35"/>
        <v>0.5</v>
      </c>
      <c r="X57" s="2799">
        <f t="shared" si="36"/>
        <v>0.5</v>
      </c>
      <c r="Y57" s="2799">
        <f t="shared" si="37"/>
        <v>0.5</v>
      </c>
      <c r="Z57" s="2801">
        <f t="shared" si="38"/>
        <v>0.33333333333333331</v>
      </c>
      <c r="AA57" s="2799">
        <f t="shared" si="17"/>
        <v>0.33333333333333331</v>
      </c>
      <c r="AB57" s="2799">
        <f t="shared" si="10"/>
        <v>0.33333333333333331</v>
      </c>
      <c r="AC57" s="2800">
        <f t="shared" si="11"/>
        <v>0.33333333333333331</v>
      </c>
      <c r="AD57" s="2799">
        <f t="shared" si="12"/>
        <v>0.33333333333333331</v>
      </c>
      <c r="AE57" s="2799">
        <f t="shared" si="18"/>
        <v>0.33333333333333331</v>
      </c>
      <c r="AG57" s="1937" t="s">
        <v>2713</v>
      </c>
      <c r="AH57" s="1941" t="s">
        <v>2549</v>
      </c>
      <c r="AI57" s="1942" t="s">
        <v>2552</v>
      </c>
      <c r="AJ57" s="1974">
        <v>0.25</v>
      </c>
      <c r="AK57" s="1974">
        <v>0.25</v>
      </c>
      <c r="AL57" s="1977">
        <v>0.33333333333333331</v>
      </c>
      <c r="AM57" s="1977">
        <v>0.33333333333333331</v>
      </c>
      <c r="AN57" s="1977">
        <v>0.33333333333333331</v>
      </c>
      <c r="AO57" s="1977">
        <v>0.33333333333333331</v>
      </c>
      <c r="AP57" s="1974">
        <v>1</v>
      </c>
      <c r="AQ57" s="1977">
        <v>0.33333333333333331</v>
      </c>
      <c r="AR57" s="1974">
        <v>0.25</v>
      </c>
      <c r="AS57" s="1944">
        <v>0.25</v>
      </c>
      <c r="AT57" s="1945">
        <v>0.25</v>
      </c>
      <c r="AU57" s="1944">
        <v>0.25</v>
      </c>
      <c r="AV57" s="1944">
        <v>0.33</v>
      </c>
      <c r="AX57" s="1937" t="s">
        <v>2713</v>
      </c>
      <c r="AY57" s="1941" t="s">
        <v>2549</v>
      </c>
      <c r="AZ57" s="1942" t="s">
        <v>2552</v>
      </c>
      <c r="BA57" s="1944">
        <v>0.33333333333333331</v>
      </c>
      <c r="BB57" s="1944">
        <v>0.33333333333333331</v>
      </c>
      <c r="BC57" s="1944">
        <v>0.5</v>
      </c>
      <c r="BD57" s="1944">
        <v>0.5</v>
      </c>
      <c r="BE57" s="1944">
        <v>0.5</v>
      </c>
      <c r="BF57" s="1944">
        <v>0.5</v>
      </c>
      <c r="BG57" s="1944">
        <v>0.5</v>
      </c>
      <c r="BH57" s="1951">
        <v>0.5</v>
      </c>
      <c r="BI57" s="1944">
        <v>0.33333333333333331</v>
      </c>
      <c r="BJ57" s="1944">
        <v>0.33333333333333331</v>
      </c>
      <c r="BK57" s="1945">
        <v>0.33333333333333331</v>
      </c>
      <c r="BL57" s="1944">
        <v>0.33333333333333331</v>
      </c>
      <c r="BM57" s="1944">
        <v>0.33333333333333331</v>
      </c>
      <c r="BO57" s="1937" t="s">
        <v>2713</v>
      </c>
      <c r="BP57" s="1941" t="s">
        <v>2549</v>
      </c>
      <c r="BQ57" s="1942" t="s">
        <v>2552</v>
      </c>
      <c r="BR57" s="2926">
        <f t="shared" si="73"/>
        <v>0.33333333333333331</v>
      </c>
      <c r="BS57" s="2926">
        <f t="shared" si="71"/>
        <v>0.33333333333333331</v>
      </c>
      <c r="BT57" s="2926">
        <f>0.33/(0.33+0.33)</f>
        <v>0.5</v>
      </c>
      <c r="BU57" s="2926">
        <f>0.33/(0.33+0.33)</f>
        <v>0.5</v>
      </c>
      <c r="BV57" s="2926">
        <f>0.33/(0.33+0.33)</f>
        <v>0.5</v>
      </c>
      <c r="BW57" s="2926">
        <f>0.33/(0.33+0.33)</f>
        <v>0.5</v>
      </c>
      <c r="BX57" s="1974">
        <v>0.5</v>
      </c>
      <c r="BY57" s="2926">
        <f t="shared" si="72"/>
        <v>0.33333333333333331</v>
      </c>
      <c r="BZ57" s="2926">
        <f t="shared" si="72"/>
        <v>0.33333333333333331</v>
      </c>
      <c r="CA57" s="2926">
        <f t="shared" si="72"/>
        <v>0.33333333333333331</v>
      </c>
      <c r="CB57" s="2926">
        <f t="shared" si="72"/>
        <v>0.33333333333333331</v>
      </c>
      <c r="CC57" s="2926">
        <f t="shared" si="72"/>
        <v>0.33333333333333331</v>
      </c>
      <c r="CD57" s="2926">
        <f t="shared" si="72"/>
        <v>0.33333333333333331</v>
      </c>
      <c r="CE57" s="2273"/>
      <c r="CG57" s="1937" t="s">
        <v>2713</v>
      </c>
      <c r="CH57" s="1941" t="s">
        <v>2549</v>
      </c>
      <c r="CI57" s="1942" t="s">
        <v>2552</v>
      </c>
      <c r="CJ57" s="2706">
        <f t="shared" si="19"/>
        <v>0.33333333333333331</v>
      </c>
      <c r="CK57" s="2706">
        <f t="shared" si="20"/>
        <v>0.33333333333333331</v>
      </c>
      <c r="CL57" s="2706">
        <f t="shared" si="21"/>
        <v>0.5</v>
      </c>
      <c r="CM57" s="2706">
        <f t="shared" si="22"/>
        <v>0.5</v>
      </c>
      <c r="CN57" s="2706">
        <f t="shared" si="23"/>
        <v>0.5</v>
      </c>
      <c r="CO57" s="2706">
        <f t="shared" si="24"/>
        <v>0.5</v>
      </c>
      <c r="CP57" s="2706">
        <f t="shared" si="25"/>
        <v>0.5</v>
      </c>
      <c r="CQ57" s="2707">
        <f t="shared" si="26"/>
        <v>0.33333333333333331</v>
      </c>
      <c r="CR57" s="2706">
        <f t="shared" si="27"/>
        <v>0.33333333333333331</v>
      </c>
      <c r="CS57" s="2706">
        <f t="shared" si="28"/>
        <v>0.33333333333333331</v>
      </c>
      <c r="CT57" s="2708">
        <f t="shared" si="13"/>
        <v>0.33333333333333331</v>
      </c>
      <c r="CU57" s="2706">
        <f t="shared" si="14"/>
        <v>0.33333333333333331</v>
      </c>
      <c r="CV57" s="2706">
        <f t="shared" si="15"/>
        <v>0.33333333333333331</v>
      </c>
      <c r="CX57" s="1937" t="s">
        <v>2713</v>
      </c>
      <c r="CY57" s="1941" t="s">
        <v>2549</v>
      </c>
      <c r="CZ57" s="1942" t="s">
        <v>2552</v>
      </c>
      <c r="DA57" s="2695">
        <f t="shared" si="29"/>
        <v>0.33333333333333331</v>
      </c>
      <c r="DB57" s="2695"/>
      <c r="DC57" s="2695"/>
      <c r="DD57" s="2695"/>
      <c r="DE57" s="2695"/>
      <c r="DF57" s="2695"/>
      <c r="DG57" s="2695"/>
      <c r="DH57" s="2904"/>
      <c r="DI57" s="2695"/>
      <c r="DJ57" s="2695"/>
      <c r="DK57" s="2905"/>
      <c r="DL57" s="2695"/>
      <c r="DM57" s="2695"/>
    </row>
    <row r="58" spans="2:117" hidden="1">
      <c r="B58" s="1916" t="str">
        <f t="shared" si="68"/>
        <v>4.2.4</v>
      </c>
      <c r="C58" s="1962">
        <f t="shared" si="1"/>
        <v>0</v>
      </c>
      <c r="D58" s="1959" t="e">
        <f t="shared" si="70"/>
        <v>#DIV/0!</v>
      </c>
      <c r="E58" s="1960" t="e">
        <f t="shared" si="70"/>
        <v>#DIV/0!</v>
      </c>
      <c r="G58" s="1960" t="e">
        <f t="shared" si="64"/>
        <v>#DIV/0!</v>
      </c>
      <c r="H58" s="1960" t="e">
        <f t="shared" si="65"/>
        <v>#DIV/0!</v>
      </c>
      <c r="I58" s="1960"/>
      <c r="J58" s="1960"/>
      <c r="K58" s="1960">
        <f>IF(スコア!O58=0,0,1)</f>
        <v>0</v>
      </c>
      <c r="L58" s="1960">
        <f>IF(スコア!R58=0,0,1)</f>
        <v>0</v>
      </c>
      <c r="M58" s="1960" t="e">
        <f t="shared" si="66"/>
        <v>#DIV/0!</v>
      </c>
      <c r="N58" s="1960" t="e">
        <f t="shared" si="67"/>
        <v>#DIV/0!</v>
      </c>
      <c r="P58" s="1961" t="str">
        <f t="shared" si="6"/>
        <v>4.2.4</v>
      </c>
      <c r="Q58" s="1961" t="str">
        <f t="shared" si="7"/>
        <v xml:space="preserve"> Q1 4.2</v>
      </c>
      <c r="R58" s="1962">
        <f t="shared" si="8"/>
        <v>0</v>
      </c>
      <c r="S58" s="2805">
        <f t="shared" si="16"/>
        <v>0</v>
      </c>
      <c r="T58" s="2805">
        <f t="shared" si="32"/>
        <v>0</v>
      </c>
      <c r="U58" s="2805">
        <f t="shared" si="33"/>
        <v>0</v>
      </c>
      <c r="V58" s="2805">
        <f t="shared" si="34"/>
        <v>0</v>
      </c>
      <c r="W58" s="2805">
        <f t="shared" si="35"/>
        <v>0</v>
      </c>
      <c r="X58" s="2805">
        <f t="shared" si="36"/>
        <v>0</v>
      </c>
      <c r="Y58" s="2805">
        <f t="shared" si="37"/>
        <v>0</v>
      </c>
      <c r="Z58" s="2806">
        <f t="shared" si="38"/>
        <v>0</v>
      </c>
      <c r="AA58" s="2805">
        <f t="shared" si="17"/>
        <v>0</v>
      </c>
      <c r="AB58" s="2805">
        <f t="shared" si="10"/>
        <v>0</v>
      </c>
      <c r="AC58" s="2807">
        <f t="shared" si="11"/>
        <v>0</v>
      </c>
      <c r="AD58" s="2805">
        <f t="shared" si="12"/>
        <v>0</v>
      </c>
      <c r="AE58" s="2805">
        <f t="shared" si="18"/>
        <v>0</v>
      </c>
      <c r="AG58" s="1937" t="s">
        <v>2714</v>
      </c>
      <c r="AH58" s="1941" t="s">
        <v>2549</v>
      </c>
      <c r="AI58" s="1942" t="s">
        <v>2715</v>
      </c>
      <c r="AJ58" s="1969">
        <v>0.25</v>
      </c>
      <c r="AK58" s="1969">
        <v>0.25</v>
      </c>
      <c r="AL58" s="1978">
        <v>0.33333333333333331</v>
      </c>
      <c r="AM58" s="1978">
        <v>0.33333333333333331</v>
      </c>
      <c r="AN58" s="1978">
        <v>0.33333333333333331</v>
      </c>
      <c r="AO58" s="1978">
        <v>0.33333333333333331</v>
      </c>
      <c r="AP58" s="1969"/>
      <c r="AQ58" s="1978">
        <v>0.33333333333333331</v>
      </c>
      <c r="AR58" s="1969">
        <v>0.25</v>
      </c>
      <c r="AS58" s="1944">
        <v>0.25</v>
      </c>
      <c r="AT58" s="1945">
        <v>0.25</v>
      </c>
      <c r="AU58" s="1944">
        <v>0.25</v>
      </c>
      <c r="AV58" s="1944">
        <v>0.33</v>
      </c>
      <c r="AX58" s="1937" t="s">
        <v>2714</v>
      </c>
      <c r="AY58" s="1941" t="s">
        <v>2549</v>
      </c>
      <c r="AZ58" s="1942" t="s">
        <v>2715</v>
      </c>
      <c r="BA58" s="1944"/>
      <c r="BB58" s="1944"/>
      <c r="BC58" s="1944"/>
      <c r="BD58" s="1944"/>
      <c r="BE58" s="1944"/>
      <c r="BF58" s="1944"/>
      <c r="BG58" s="1944"/>
      <c r="BH58" s="1951"/>
      <c r="BI58" s="1944"/>
      <c r="BJ58" s="1944"/>
      <c r="BK58" s="1945"/>
      <c r="BL58" s="1944"/>
      <c r="BM58" s="1944"/>
      <c r="BO58" s="1961" t="s">
        <v>2714</v>
      </c>
      <c r="BP58" s="1964" t="s">
        <v>2549</v>
      </c>
      <c r="BQ58" s="1965"/>
      <c r="BR58" s="1969"/>
      <c r="BS58" s="1969"/>
      <c r="BT58" s="1969"/>
      <c r="BU58" s="1969"/>
      <c r="BV58" s="1969"/>
      <c r="BW58" s="1969"/>
      <c r="BX58" s="1969"/>
      <c r="BY58" s="1969"/>
      <c r="BZ58" s="1969"/>
      <c r="CA58" s="1969"/>
      <c r="CB58" s="1971"/>
      <c r="CC58" s="1969"/>
      <c r="CD58" s="1969"/>
      <c r="CE58" s="2273"/>
      <c r="CG58" s="1961" t="s">
        <v>2714</v>
      </c>
      <c r="CH58" s="1964" t="s">
        <v>2549</v>
      </c>
      <c r="CI58" s="1965"/>
      <c r="CJ58" s="2713"/>
      <c r="CK58" s="2713"/>
      <c r="CL58" s="2713"/>
      <c r="CM58" s="2713"/>
      <c r="CN58" s="2713"/>
      <c r="CO58" s="2713"/>
      <c r="CP58" s="2713"/>
      <c r="CQ58" s="2713"/>
      <c r="CR58" s="2713"/>
      <c r="CS58" s="2713"/>
      <c r="CT58" s="2715"/>
      <c r="CU58" s="2713"/>
      <c r="CV58" s="2713"/>
      <c r="CX58" s="1961"/>
      <c r="CY58" s="1964"/>
      <c r="CZ58" s="1965"/>
      <c r="DA58" s="2909"/>
      <c r="DB58" s="2909"/>
      <c r="DC58" s="2909"/>
      <c r="DD58" s="2909"/>
      <c r="DE58" s="2909"/>
      <c r="DF58" s="2909"/>
      <c r="DG58" s="2909"/>
      <c r="DH58" s="2909"/>
      <c r="DI58" s="2909"/>
      <c r="DJ58" s="2909"/>
      <c r="DK58" s="2911"/>
      <c r="DL58" s="2909"/>
      <c r="DM58" s="2909"/>
    </row>
    <row r="59" spans="2:117">
      <c r="B59" s="1916">
        <f t="shared" si="68"/>
        <v>4.3</v>
      </c>
      <c r="C59" s="1938" t="str">
        <f t="shared" si="1"/>
        <v>運用管理</v>
      </c>
      <c r="D59" s="1935" t="e">
        <f>IF(I$48=0,0,G59/I$48)</f>
        <v>#DIV/0!</v>
      </c>
      <c r="E59" s="1936" t="e">
        <f>IF(J$48=0,0,H59/J$48)</f>
        <v>#DIV/0!</v>
      </c>
      <c r="G59" s="1936" t="e">
        <f t="shared" si="64"/>
        <v>#DIV/0!</v>
      </c>
      <c r="H59" s="1936" t="e">
        <f t="shared" si="65"/>
        <v>#DIV/0!</v>
      </c>
      <c r="I59" s="1936" t="e">
        <f>G60+G61</f>
        <v>#DIV/0!</v>
      </c>
      <c r="J59" s="1936" t="e">
        <f>H60+H61</f>
        <v>#DIV/0!</v>
      </c>
      <c r="K59" s="1936" t="e">
        <f>IF(スコア!O59=0,0,1)</f>
        <v>#DIV/0!</v>
      </c>
      <c r="L59" s="1936" t="e">
        <f>IF(スコア!R59=0,0,1)</f>
        <v>#DIV/0!</v>
      </c>
      <c r="M59" s="1936" t="e">
        <f t="shared" si="66"/>
        <v>#DIV/0!</v>
      </c>
      <c r="N59" s="1936" t="e">
        <f t="shared" si="67"/>
        <v>#DIV/0!</v>
      </c>
      <c r="P59" s="1937">
        <f t="shared" si="6"/>
        <v>4.3</v>
      </c>
      <c r="Q59" s="1937" t="str">
        <f t="shared" si="7"/>
        <v xml:space="preserve"> Q1 4</v>
      </c>
      <c r="R59" s="1938" t="str">
        <f t="shared" si="8"/>
        <v>運用管理</v>
      </c>
      <c r="S59" s="2799">
        <f t="shared" si="16"/>
        <v>0.2</v>
      </c>
      <c r="T59" s="2799">
        <f t="shared" si="32"/>
        <v>0.2</v>
      </c>
      <c r="U59" s="2799">
        <f t="shared" si="33"/>
        <v>0.2</v>
      </c>
      <c r="V59" s="2799">
        <f t="shared" si="34"/>
        <v>0.2</v>
      </c>
      <c r="W59" s="2799">
        <f t="shared" si="35"/>
        <v>0.2</v>
      </c>
      <c r="X59" s="2799">
        <f t="shared" si="36"/>
        <v>0.2</v>
      </c>
      <c r="Y59" s="2799">
        <f t="shared" si="37"/>
        <v>0</v>
      </c>
      <c r="Z59" s="2801">
        <f t="shared" si="38"/>
        <v>0.2</v>
      </c>
      <c r="AA59" s="2799">
        <f t="shared" si="17"/>
        <v>0.2</v>
      </c>
      <c r="AB59" s="2799">
        <f t="shared" si="10"/>
        <v>0.2</v>
      </c>
      <c r="AC59" s="2800">
        <f t="shared" si="11"/>
        <v>0</v>
      </c>
      <c r="AD59" s="2799">
        <f t="shared" si="12"/>
        <v>0</v>
      </c>
      <c r="AE59" s="2799">
        <f t="shared" si="18"/>
        <v>0</v>
      </c>
      <c r="AG59" s="1937">
        <v>4.3</v>
      </c>
      <c r="AH59" s="1941" t="s">
        <v>2544</v>
      </c>
      <c r="AI59" s="1938" t="s">
        <v>2365</v>
      </c>
      <c r="AJ59" s="1974">
        <v>0.2</v>
      </c>
      <c r="AK59" s="1974">
        <v>0.2</v>
      </c>
      <c r="AL59" s="1974">
        <v>0.2</v>
      </c>
      <c r="AM59" s="1974">
        <v>0.2</v>
      </c>
      <c r="AN59" s="1974">
        <v>0.2</v>
      </c>
      <c r="AO59" s="1974">
        <v>0.2</v>
      </c>
      <c r="AP59" s="1974"/>
      <c r="AQ59" s="1975">
        <v>0.2</v>
      </c>
      <c r="AR59" s="1974">
        <v>0.2</v>
      </c>
      <c r="AS59" s="1944">
        <v>0.2</v>
      </c>
      <c r="AT59" s="1945"/>
      <c r="AU59" s="1944"/>
      <c r="AV59" s="1944"/>
      <c r="AX59" s="1937">
        <v>4.3</v>
      </c>
      <c r="AY59" s="1941" t="s">
        <v>2544</v>
      </c>
      <c r="AZ59" s="1938" t="s">
        <v>2365</v>
      </c>
      <c r="BA59" s="1944">
        <v>0.2</v>
      </c>
      <c r="BB59" s="1944">
        <v>0.2</v>
      </c>
      <c r="BC59" s="1944">
        <v>0.2</v>
      </c>
      <c r="BD59" s="1944">
        <v>0.2</v>
      </c>
      <c r="BE59" s="1944">
        <v>0.2</v>
      </c>
      <c r="BF59" s="1944">
        <v>0.2</v>
      </c>
      <c r="BG59" s="1944"/>
      <c r="BH59" s="1951">
        <v>0.2</v>
      </c>
      <c r="BI59" s="1944">
        <v>0.2</v>
      </c>
      <c r="BJ59" s="1944">
        <v>0.2</v>
      </c>
      <c r="BK59" s="1945"/>
      <c r="BL59" s="1944"/>
      <c r="BM59" s="1944"/>
      <c r="BO59" s="1937">
        <v>4.3</v>
      </c>
      <c r="BP59" s="1941" t="s">
        <v>2544</v>
      </c>
      <c r="BQ59" s="1938" t="s">
        <v>2365</v>
      </c>
      <c r="BR59" s="1974">
        <v>0.2</v>
      </c>
      <c r="BS59" s="1974">
        <v>0.2</v>
      </c>
      <c r="BT59" s="1974">
        <v>0.2</v>
      </c>
      <c r="BU59" s="1974">
        <v>0.2</v>
      </c>
      <c r="BV59" s="1974">
        <v>0.2</v>
      </c>
      <c r="BW59" s="1974">
        <v>0.2</v>
      </c>
      <c r="BX59" s="1974"/>
      <c r="BY59" s="2463">
        <v>0.2</v>
      </c>
      <c r="BZ59" s="1974">
        <v>0.2</v>
      </c>
      <c r="CA59" s="1974">
        <v>0.2</v>
      </c>
      <c r="CB59" s="1976"/>
      <c r="CC59" s="1974"/>
      <c r="CD59" s="1974"/>
      <c r="CE59" s="2273"/>
      <c r="CG59" s="1937">
        <v>4.3</v>
      </c>
      <c r="CH59" s="1941" t="s">
        <v>2544</v>
      </c>
      <c r="CI59" s="1938" t="s">
        <v>2365</v>
      </c>
      <c r="CJ59" s="2706">
        <f t="shared" si="19"/>
        <v>0.2</v>
      </c>
      <c r="CK59" s="2706">
        <f t="shared" si="20"/>
        <v>0.2</v>
      </c>
      <c r="CL59" s="2706">
        <f t="shared" si="21"/>
        <v>0.2</v>
      </c>
      <c r="CM59" s="2706">
        <f t="shared" si="22"/>
        <v>0.2</v>
      </c>
      <c r="CN59" s="2706">
        <f t="shared" si="23"/>
        <v>0.2</v>
      </c>
      <c r="CO59" s="2706">
        <f t="shared" si="24"/>
        <v>0.2</v>
      </c>
      <c r="CP59" s="2706">
        <f t="shared" si="25"/>
        <v>0</v>
      </c>
      <c r="CQ59" s="2709">
        <f t="shared" si="26"/>
        <v>0.2</v>
      </c>
      <c r="CR59" s="2706">
        <f t="shared" si="27"/>
        <v>0.2</v>
      </c>
      <c r="CS59" s="2706">
        <f t="shared" si="28"/>
        <v>0.2</v>
      </c>
      <c r="CT59" s="2708">
        <f t="shared" si="13"/>
        <v>0</v>
      </c>
      <c r="CU59" s="2706">
        <f t="shared" si="14"/>
        <v>0</v>
      </c>
      <c r="CV59" s="2706">
        <f t="shared" si="15"/>
        <v>0</v>
      </c>
      <c r="CX59" s="1937">
        <v>4.3</v>
      </c>
      <c r="CY59" s="1941" t="s">
        <v>2544</v>
      </c>
      <c r="CZ59" s="1938" t="s">
        <v>2365</v>
      </c>
      <c r="DA59" s="2695">
        <f t="shared" si="29"/>
        <v>0.2</v>
      </c>
      <c r="DB59" s="2695"/>
      <c r="DC59" s="2695"/>
      <c r="DD59" s="2695"/>
      <c r="DE59" s="2695"/>
      <c r="DF59" s="2695"/>
      <c r="DG59" s="2695"/>
      <c r="DH59" s="2912"/>
      <c r="DI59" s="2695"/>
      <c r="DJ59" s="2695"/>
      <c r="DK59" s="2905"/>
      <c r="DL59" s="2695"/>
      <c r="DM59" s="2695"/>
    </row>
    <row r="60" spans="2:117">
      <c r="B60" s="1916" t="str">
        <f t="shared" si="68"/>
        <v>4.3.1</v>
      </c>
      <c r="C60" s="1938" t="str">
        <f t="shared" si="1"/>
        <v>CO2の監視</v>
      </c>
      <c r="D60" s="1926" t="e">
        <f>IF(I$59&gt;0,G60/I$59,0)</f>
        <v>#DIV/0!</v>
      </c>
      <c r="E60" s="1936" t="e">
        <f>IF(J$59&gt;0,H60/J$59,0)</f>
        <v>#DIV/0!</v>
      </c>
      <c r="G60" s="1936" t="e">
        <f t="shared" si="64"/>
        <v>#DIV/0!</v>
      </c>
      <c r="H60" s="1936" t="e">
        <f t="shared" si="65"/>
        <v>#DIV/0!</v>
      </c>
      <c r="I60" s="1936"/>
      <c r="J60" s="1936"/>
      <c r="K60" s="1936">
        <f>IF(スコア!O60=0,0,1)</f>
        <v>1</v>
      </c>
      <c r="L60" s="1936">
        <f>IF(スコア!R60=0,0,1)</f>
        <v>0</v>
      </c>
      <c r="M60" s="1936" t="e">
        <f t="shared" si="66"/>
        <v>#DIV/0!</v>
      </c>
      <c r="N60" s="1936" t="e">
        <f t="shared" si="67"/>
        <v>#DIV/0!</v>
      </c>
      <c r="P60" s="1937" t="str">
        <f t="shared" si="6"/>
        <v>4.3.1</v>
      </c>
      <c r="Q60" s="1937" t="str">
        <f t="shared" si="7"/>
        <v xml:space="preserve"> Q1 4.3</v>
      </c>
      <c r="R60" s="1938" t="str">
        <f t="shared" si="8"/>
        <v>CO2の監視</v>
      </c>
      <c r="S60" s="2799">
        <f t="shared" si="16"/>
        <v>0.5</v>
      </c>
      <c r="T60" s="2799">
        <f t="shared" si="32"/>
        <v>0.5</v>
      </c>
      <c r="U60" s="2799">
        <f t="shared" si="33"/>
        <v>0.5</v>
      </c>
      <c r="V60" s="2799">
        <f t="shared" si="34"/>
        <v>0.5</v>
      </c>
      <c r="W60" s="2799">
        <f t="shared" si="35"/>
        <v>0</v>
      </c>
      <c r="X60" s="2799">
        <f t="shared" si="36"/>
        <v>0</v>
      </c>
      <c r="Y60" s="2799">
        <f t="shared" si="37"/>
        <v>0</v>
      </c>
      <c r="Z60" s="2801">
        <f t="shared" si="38"/>
        <v>0.5</v>
      </c>
      <c r="AA60" s="2799">
        <f t="shared" si="17"/>
        <v>0.5</v>
      </c>
      <c r="AB60" s="2799">
        <f t="shared" si="10"/>
        <v>0.5</v>
      </c>
      <c r="AC60" s="2800">
        <f t="shared" si="11"/>
        <v>0</v>
      </c>
      <c r="AD60" s="2799">
        <f t="shared" si="12"/>
        <v>0</v>
      </c>
      <c r="AE60" s="2799">
        <f t="shared" si="18"/>
        <v>0</v>
      </c>
      <c r="AG60" s="1937" t="s">
        <v>2716</v>
      </c>
      <c r="AH60" s="1941" t="s">
        <v>2553</v>
      </c>
      <c r="AI60" s="1942" t="s">
        <v>2717</v>
      </c>
      <c r="AJ60" s="1974">
        <v>0.5</v>
      </c>
      <c r="AK60" s="1974">
        <v>0.5</v>
      </c>
      <c r="AL60" s="1974">
        <v>0.5</v>
      </c>
      <c r="AM60" s="1974">
        <v>0.5</v>
      </c>
      <c r="AN60" s="1974"/>
      <c r="AO60" s="1974"/>
      <c r="AP60" s="1974"/>
      <c r="AQ60" s="1975">
        <v>0.5</v>
      </c>
      <c r="AR60" s="1974">
        <v>0.5</v>
      </c>
      <c r="AS60" s="1944">
        <v>0.5</v>
      </c>
      <c r="AT60" s="1945"/>
      <c r="AU60" s="1944"/>
      <c r="AV60" s="1944"/>
      <c r="AX60" s="1937" t="s">
        <v>2716</v>
      </c>
      <c r="AY60" s="1941" t="s">
        <v>2553</v>
      </c>
      <c r="AZ60" s="1942" t="s">
        <v>2717</v>
      </c>
      <c r="BA60" s="1944">
        <v>0.5</v>
      </c>
      <c r="BB60" s="1944">
        <v>0.5</v>
      </c>
      <c r="BC60" s="1944">
        <v>0.5</v>
      </c>
      <c r="BD60" s="1944">
        <v>0.5</v>
      </c>
      <c r="BE60" s="1944"/>
      <c r="BF60" s="1944"/>
      <c r="BG60" s="1944"/>
      <c r="BH60" s="1951">
        <v>0.5</v>
      </c>
      <c r="BI60" s="1944">
        <v>0.5</v>
      </c>
      <c r="BJ60" s="1944">
        <v>0.5</v>
      </c>
      <c r="BK60" s="1945"/>
      <c r="BL60" s="1944"/>
      <c r="BM60" s="1944"/>
      <c r="BO60" s="1937" t="s">
        <v>2716</v>
      </c>
      <c r="BP60" s="1941" t="s">
        <v>2553</v>
      </c>
      <c r="BQ60" s="1942" t="s">
        <v>2717</v>
      </c>
      <c r="BR60" s="1974">
        <v>0.5</v>
      </c>
      <c r="BS60" s="1974">
        <v>0.5</v>
      </c>
      <c r="BT60" s="1974">
        <v>0.5</v>
      </c>
      <c r="BU60" s="1974">
        <v>0.5</v>
      </c>
      <c r="BV60" s="1974"/>
      <c r="BW60" s="1974"/>
      <c r="BX60" s="1974"/>
      <c r="BY60" s="2463">
        <v>0.5</v>
      </c>
      <c r="BZ60" s="1974">
        <v>0.5</v>
      </c>
      <c r="CA60" s="1974">
        <v>0.5</v>
      </c>
      <c r="CB60" s="1976"/>
      <c r="CC60" s="1974"/>
      <c r="CD60" s="1974"/>
      <c r="CE60" s="2273"/>
      <c r="CG60" s="1937" t="s">
        <v>2716</v>
      </c>
      <c r="CH60" s="1941" t="s">
        <v>2553</v>
      </c>
      <c r="CI60" s="1942" t="s">
        <v>2717</v>
      </c>
      <c r="CJ60" s="2706">
        <f t="shared" si="19"/>
        <v>0.5</v>
      </c>
      <c r="CK60" s="2706">
        <f t="shared" si="20"/>
        <v>0.5</v>
      </c>
      <c r="CL60" s="2706">
        <f t="shared" si="21"/>
        <v>0.5</v>
      </c>
      <c r="CM60" s="2706">
        <f t="shared" si="22"/>
        <v>0.5</v>
      </c>
      <c r="CN60" s="2706">
        <f t="shared" si="23"/>
        <v>0</v>
      </c>
      <c r="CO60" s="2706">
        <f t="shared" si="24"/>
        <v>0</v>
      </c>
      <c r="CP60" s="2706">
        <f t="shared" si="25"/>
        <v>0</v>
      </c>
      <c r="CQ60" s="2709">
        <f t="shared" si="26"/>
        <v>0.5</v>
      </c>
      <c r="CR60" s="2706">
        <f t="shared" si="27"/>
        <v>0.5</v>
      </c>
      <c r="CS60" s="2706">
        <f t="shared" si="28"/>
        <v>0.5</v>
      </c>
      <c r="CT60" s="2708">
        <f t="shared" si="13"/>
        <v>0</v>
      </c>
      <c r="CU60" s="2706">
        <f t="shared" si="14"/>
        <v>0</v>
      </c>
      <c r="CV60" s="2706">
        <f t="shared" si="15"/>
        <v>0</v>
      </c>
      <c r="CX60" s="1937" t="s">
        <v>2716</v>
      </c>
      <c r="CY60" s="1941" t="s">
        <v>2553</v>
      </c>
      <c r="CZ60" s="1942" t="s">
        <v>2717</v>
      </c>
      <c r="DA60" s="2695">
        <f t="shared" si="29"/>
        <v>0.5</v>
      </c>
      <c r="DB60" s="2695"/>
      <c r="DC60" s="2695"/>
      <c r="DD60" s="2695"/>
      <c r="DE60" s="2695"/>
      <c r="DF60" s="2695"/>
      <c r="DG60" s="2695"/>
      <c r="DH60" s="2912"/>
      <c r="DI60" s="2695"/>
      <c r="DJ60" s="2695"/>
      <c r="DK60" s="2905"/>
      <c r="DL60" s="2695"/>
      <c r="DM60" s="2695"/>
    </row>
    <row r="61" spans="2:117">
      <c r="B61" s="1916" t="str">
        <f t="shared" si="68"/>
        <v>4.3.2</v>
      </c>
      <c r="C61" s="1938" t="str">
        <f t="shared" si="1"/>
        <v>喫煙の制御</v>
      </c>
      <c r="D61" s="1926" t="e">
        <f>IF(I$59&gt;0,G61/I$59,0)</f>
        <v>#DIV/0!</v>
      </c>
      <c r="E61" s="1936" t="e">
        <f>IF(J$59&gt;0,H61/J$59,0)</f>
        <v>#DIV/0!</v>
      </c>
      <c r="G61" s="1936" t="e">
        <f t="shared" si="64"/>
        <v>#DIV/0!</v>
      </c>
      <c r="H61" s="1936" t="e">
        <f t="shared" si="65"/>
        <v>#DIV/0!</v>
      </c>
      <c r="I61" s="1936"/>
      <c r="J61" s="1936"/>
      <c r="K61" s="1936">
        <f>IF(スコア!O61=0,0,1)</f>
        <v>1</v>
      </c>
      <c r="L61" s="1936">
        <f>IF(スコア!R61=0,0,1)</f>
        <v>0</v>
      </c>
      <c r="M61" s="1936" t="e">
        <f t="shared" si="66"/>
        <v>#DIV/0!</v>
      </c>
      <c r="N61" s="1936" t="e">
        <f t="shared" si="67"/>
        <v>#DIV/0!</v>
      </c>
      <c r="P61" s="1937" t="str">
        <f t="shared" si="6"/>
        <v>4.3.2</v>
      </c>
      <c r="Q61" s="1937" t="str">
        <f t="shared" si="7"/>
        <v xml:space="preserve"> Q1 4.3</v>
      </c>
      <c r="R61" s="1938" t="str">
        <f t="shared" si="8"/>
        <v>喫煙の制御</v>
      </c>
      <c r="S61" s="2799">
        <f t="shared" si="16"/>
        <v>0.5</v>
      </c>
      <c r="T61" s="2799">
        <f t="shared" si="32"/>
        <v>0.5</v>
      </c>
      <c r="U61" s="2799">
        <f t="shared" si="33"/>
        <v>0.5</v>
      </c>
      <c r="V61" s="2799">
        <f t="shared" si="34"/>
        <v>0.5</v>
      </c>
      <c r="W61" s="2799">
        <f t="shared" si="35"/>
        <v>1</v>
      </c>
      <c r="X61" s="2799">
        <f t="shared" si="36"/>
        <v>1</v>
      </c>
      <c r="Y61" s="2799">
        <f t="shared" si="37"/>
        <v>0</v>
      </c>
      <c r="Z61" s="2801">
        <f t="shared" si="38"/>
        <v>0.5</v>
      </c>
      <c r="AA61" s="2799">
        <f t="shared" si="17"/>
        <v>0.5</v>
      </c>
      <c r="AB61" s="2799">
        <f t="shared" si="10"/>
        <v>0.5</v>
      </c>
      <c r="AC61" s="2800">
        <f t="shared" si="11"/>
        <v>0</v>
      </c>
      <c r="AD61" s="2799">
        <f t="shared" si="12"/>
        <v>0</v>
      </c>
      <c r="AE61" s="2799">
        <f t="shared" si="18"/>
        <v>0</v>
      </c>
      <c r="AG61" s="1937" t="s">
        <v>2718</v>
      </c>
      <c r="AH61" s="1941" t="s">
        <v>2553</v>
      </c>
      <c r="AI61" s="1942" t="s">
        <v>2719</v>
      </c>
      <c r="AJ61" s="1974">
        <v>0.5</v>
      </c>
      <c r="AK61" s="1974">
        <v>0.5</v>
      </c>
      <c r="AL61" s="1974">
        <v>0.5</v>
      </c>
      <c r="AM61" s="1974">
        <v>0.5</v>
      </c>
      <c r="AN61" s="1974">
        <v>1</v>
      </c>
      <c r="AO61" s="1974">
        <v>1</v>
      </c>
      <c r="AP61" s="1974"/>
      <c r="AQ61" s="1975">
        <v>0.5</v>
      </c>
      <c r="AR61" s="1974">
        <v>0.5</v>
      </c>
      <c r="AS61" s="1944">
        <v>0.5</v>
      </c>
      <c r="AT61" s="1945"/>
      <c r="AU61" s="1944"/>
      <c r="AV61" s="1944"/>
      <c r="AX61" s="1937" t="s">
        <v>2718</v>
      </c>
      <c r="AY61" s="1941" t="s">
        <v>2553</v>
      </c>
      <c r="AZ61" s="1942" t="s">
        <v>2719</v>
      </c>
      <c r="BA61" s="1944">
        <v>0.5</v>
      </c>
      <c r="BB61" s="1944">
        <v>0.5</v>
      </c>
      <c r="BC61" s="1944">
        <v>0.5</v>
      </c>
      <c r="BD61" s="1944">
        <v>0.5</v>
      </c>
      <c r="BE61" s="1944">
        <v>1</v>
      </c>
      <c r="BF61" s="1944">
        <v>1</v>
      </c>
      <c r="BG61" s="1944"/>
      <c r="BH61" s="1951">
        <v>0.5</v>
      </c>
      <c r="BI61" s="1944">
        <v>0.5</v>
      </c>
      <c r="BJ61" s="1944">
        <v>0.5</v>
      </c>
      <c r="BK61" s="1945"/>
      <c r="BL61" s="1944"/>
      <c r="BM61" s="1944"/>
      <c r="BO61" s="1937" t="s">
        <v>2718</v>
      </c>
      <c r="BP61" s="1941" t="s">
        <v>2553</v>
      </c>
      <c r="BQ61" s="1942" t="s">
        <v>2719</v>
      </c>
      <c r="BR61" s="1974">
        <v>0.5</v>
      </c>
      <c r="BS61" s="1974">
        <v>0.5</v>
      </c>
      <c r="BT61" s="1974">
        <v>0.5</v>
      </c>
      <c r="BU61" s="1974">
        <v>0.5</v>
      </c>
      <c r="BV61" s="1974">
        <v>1</v>
      </c>
      <c r="BW61" s="1974">
        <v>1</v>
      </c>
      <c r="BX61" s="1974"/>
      <c r="BY61" s="2463">
        <v>0.5</v>
      </c>
      <c r="BZ61" s="1974">
        <v>0.5</v>
      </c>
      <c r="CA61" s="1974">
        <v>0.5</v>
      </c>
      <c r="CB61" s="1976"/>
      <c r="CC61" s="1974"/>
      <c r="CD61" s="1974"/>
      <c r="CE61" s="2273"/>
      <c r="CG61" s="1937" t="s">
        <v>2718</v>
      </c>
      <c r="CH61" s="1941" t="s">
        <v>2553</v>
      </c>
      <c r="CI61" s="1942" t="s">
        <v>2719</v>
      </c>
      <c r="CJ61" s="2706">
        <f t="shared" si="19"/>
        <v>0.5</v>
      </c>
      <c r="CK61" s="2706">
        <f t="shared" si="20"/>
        <v>0.5</v>
      </c>
      <c r="CL61" s="2706">
        <f t="shared" si="21"/>
        <v>0.5</v>
      </c>
      <c r="CM61" s="2706">
        <f t="shared" si="22"/>
        <v>0.5</v>
      </c>
      <c r="CN61" s="2706">
        <f t="shared" si="23"/>
        <v>1</v>
      </c>
      <c r="CO61" s="2706">
        <f t="shared" si="24"/>
        <v>1</v>
      </c>
      <c r="CP61" s="2706">
        <f t="shared" si="25"/>
        <v>0</v>
      </c>
      <c r="CQ61" s="2709">
        <f t="shared" si="26"/>
        <v>0.5</v>
      </c>
      <c r="CR61" s="2706">
        <f t="shared" si="27"/>
        <v>0.5</v>
      </c>
      <c r="CS61" s="2706">
        <f t="shared" si="28"/>
        <v>0.5</v>
      </c>
      <c r="CT61" s="2708">
        <f t="shared" si="13"/>
        <v>0</v>
      </c>
      <c r="CU61" s="2706">
        <f t="shared" si="14"/>
        <v>0</v>
      </c>
      <c r="CV61" s="2706">
        <f t="shared" si="15"/>
        <v>0</v>
      </c>
      <c r="CX61" s="1937" t="s">
        <v>2718</v>
      </c>
      <c r="CY61" s="1941" t="s">
        <v>2553</v>
      </c>
      <c r="CZ61" s="1942" t="s">
        <v>2719</v>
      </c>
      <c r="DA61" s="2695">
        <f t="shared" si="29"/>
        <v>0.5</v>
      </c>
      <c r="DB61" s="2695"/>
      <c r="DC61" s="2695"/>
      <c r="DD61" s="2695"/>
      <c r="DE61" s="2695"/>
      <c r="DF61" s="2695"/>
      <c r="DG61" s="2695"/>
      <c r="DH61" s="2912"/>
      <c r="DI61" s="2695"/>
      <c r="DJ61" s="2695"/>
      <c r="DK61" s="2905"/>
      <c r="DL61" s="2695"/>
      <c r="DM61" s="2695"/>
    </row>
    <row r="62" spans="2:117">
      <c r="B62" s="1916" t="str">
        <f t="shared" si="68"/>
        <v>Q2</v>
      </c>
      <c r="C62" s="1919" t="str">
        <f t="shared" si="1"/>
        <v>サービス性能</v>
      </c>
      <c r="D62" s="1917" t="e">
        <f>IF(I$8=0,0,G62/I$8)</f>
        <v>#DIV/0!</v>
      </c>
      <c r="E62" s="1918" t="e">
        <f>IF(J$8=0,0,H62/J$8)</f>
        <v>#DIV/0!</v>
      </c>
      <c r="G62" s="1918" t="e">
        <f t="shared" si="64"/>
        <v>#DIV/0!</v>
      </c>
      <c r="H62" s="1918" t="e">
        <f t="shared" si="65"/>
        <v>#DIV/0!</v>
      </c>
      <c r="I62" s="1918" t="e">
        <f>G63+G78+G100</f>
        <v>#DIV/0!</v>
      </c>
      <c r="J62" s="1918" t="e">
        <f>H63+H78+H100</f>
        <v>#DIV/0!</v>
      </c>
      <c r="K62" s="1918" t="e">
        <f>IF(スコア!T62=0,0,1)</f>
        <v>#DIV/0!</v>
      </c>
      <c r="L62" s="1918">
        <f>IF(スコア!R62=0,0,1)</f>
        <v>0</v>
      </c>
      <c r="M62" s="1918" t="e">
        <f t="shared" si="66"/>
        <v>#DIV/0!</v>
      </c>
      <c r="N62" s="1918" t="e">
        <f t="shared" si="67"/>
        <v>#DIV/0!</v>
      </c>
      <c r="P62" s="1916" t="str">
        <f t="shared" si="6"/>
        <v>Q2</v>
      </c>
      <c r="Q62" s="1916" t="str">
        <f t="shared" si="7"/>
        <v xml:space="preserve"> Q</v>
      </c>
      <c r="R62" s="1919" t="str">
        <f t="shared" si="8"/>
        <v>サービス性能</v>
      </c>
      <c r="S62" s="2793">
        <f t="shared" si="16"/>
        <v>0.3</v>
      </c>
      <c r="T62" s="2793">
        <f t="shared" si="32"/>
        <v>0.3</v>
      </c>
      <c r="U62" s="2793">
        <f t="shared" si="33"/>
        <v>0.3</v>
      </c>
      <c r="V62" s="2793">
        <f t="shared" si="34"/>
        <v>0.3</v>
      </c>
      <c r="W62" s="2793">
        <f t="shared" si="35"/>
        <v>0.3</v>
      </c>
      <c r="X62" s="2793">
        <f t="shared" si="36"/>
        <v>0.3</v>
      </c>
      <c r="Y62" s="2793">
        <f t="shared" si="37"/>
        <v>0.3</v>
      </c>
      <c r="Z62" s="2793">
        <f t="shared" si="38"/>
        <v>0.3</v>
      </c>
      <c r="AA62" s="2793">
        <f t="shared" si="17"/>
        <v>0.3</v>
      </c>
      <c r="AB62" s="2793">
        <f t="shared" si="10"/>
        <v>0.3</v>
      </c>
      <c r="AC62" s="2795">
        <f t="shared" si="11"/>
        <v>0</v>
      </c>
      <c r="AD62" s="2793">
        <f t="shared" si="12"/>
        <v>0</v>
      </c>
      <c r="AE62" s="2793">
        <f t="shared" si="18"/>
        <v>0</v>
      </c>
      <c r="AG62" s="1916" t="s">
        <v>2720</v>
      </c>
      <c r="AH62" s="1921" t="s">
        <v>952</v>
      </c>
      <c r="AI62" s="1919" t="s">
        <v>2721</v>
      </c>
      <c r="AJ62" s="1920">
        <v>0.3</v>
      </c>
      <c r="AK62" s="1920">
        <v>0.3</v>
      </c>
      <c r="AL62" s="1920">
        <v>0.3</v>
      </c>
      <c r="AM62" s="1920">
        <v>0.3</v>
      </c>
      <c r="AN62" s="1920">
        <v>0.3</v>
      </c>
      <c r="AO62" s="1920">
        <v>0.3</v>
      </c>
      <c r="AP62" s="1920">
        <v>0.3</v>
      </c>
      <c r="AQ62" s="1920">
        <v>0.3</v>
      </c>
      <c r="AR62" s="1920">
        <v>0.3</v>
      </c>
      <c r="AS62" s="1922">
        <v>0.3</v>
      </c>
      <c r="AT62" s="1923">
        <v>0</v>
      </c>
      <c r="AU62" s="1922">
        <v>0</v>
      </c>
      <c r="AV62" s="1922">
        <v>0</v>
      </c>
      <c r="AX62" s="1916" t="s">
        <v>2720</v>
      </c>
      <c r="AY62" s="1921" t="s">
        <v>952</v>
      </c>
      <c r="AZ62" s="1919" t="s">
        <v>2721</v>
      </c>
      <c r="BA62" s="1922">
        <v>0.3</v>
      </c>
      <c r="BB62" s="1922">
        <v>0.3</v>
      </c>
      <c r="BC62" s="1922">
        <v>0.3</v>
      </c>
      <c r="BD62" s="1922">
        <v>0.3</v>
      </c>
      <c r="BE62" s="1922">
        <v>0.3</v>
      </c>
      <c r="BF62" s="1922">
        <v>0.3</v>
      </c>
      <c r="BG62" s="1922">
        <v>0.3</v>
      </c>
      <c r="BH62" s="1922">
        <v>0.3</v>
      </c>
      <c r="BI62" s="1922">
        <v>0.3</v>
      </c>
      <c r="BJ62" s="1922">
        <v>0.3</v>
      </c>
      <c r="BK62" s="1923"/>
      <c r="BL62" s="1922"/>
      <c r="BM62" s="1922"/>
      <c r="BO62" s="1916" t="s">
        <v>2720</v>
      </c>
      <c r="BP62" s="1921" t="s">
        <v>952</v>
      </c>
      <c r="BQ62" s="1919" t="s">
        <v>2721</v>
      </c>
      <c r="BR62" s="1922">
        <v>0.3</v>
      </c>
      <c r="BS62" s="1922">
        <v>0.3</v>
      </c>
      <c r="BT62" s="1922">
        <v>0.3</v>
      </c>
      <c r="BU62" s="1922">
        <v>0.3</v>
      </c>
      <c r="BV62" s="1922">
        <v>0.3</v>
      </c>
      <c r="BW62" s="1922">
        <v>0.3</v>
      </c>
      <c r="BX62" s="1922">
        <v>0.3</v>
      </c>
      <c r="BY62" s="1922">
        <v>0.3</v>
      </c>
      <c r="BZ62" s="1922">
        <v>0.3</v>
      </c>
      <c r="CA62" s="1922">
        <v>0.3</v>
      </c>
      <c r="CB62" s="1923"/>
      <c r="CC62" s="1922"/>
      <c r="CD62" s="1922"/>
      <c r="CE62" s="2270"/>
      <c r="CG62" s="1916" t="s">
        <v>2427</v>
      </c>
      <c r="CH62" s="1921" t="s">
        <v>952</v>
      </c>
      <c r="CI62" s="1919" t="s">
        <v>1932</v>
      </c>
      <c r="CJ62" s="2691">
        <v>0.15</v>
      </c>
      <c r="CK62" s="2691">
        <v>0.15</v>
      </c>
      <c r="CL62" s="2691">
        <v>0.15</v>
      </c>
      <c r="CM62" s="2691">
        <v>0.15</v>
      </c>
      <c r="CN62" s="2691">
        <v>0.15</v>
      </c>
      <c r="CO62" s="2691">
        <v>0.15</v>
      </c>
      <c r="CP62" s="2691">
        <v>0.15</v>
      </c>
      <c r="CQ62" s="2691">
        <v>0.15</v>
      </c>
      <c r="CR62" s="2691">
        <v>0.15</v>
      </c>
      <c r="CS62" s="2691">
        <v>0.15</v>
      </c>
      <c r="CT62" s="2692">
        <f t="shared" si="13"/>
        <v>0</v>
      </c>
      <c r="CU62" s="2691">
        <f t="shared" si="14"/>
        <v>0</v>
      </c>
      <c r="CV62" s="2691">
        <f t="shared" si="15"/>
        <v>0</v>
      </c>
      <c r="CX62" s="1916" t="s">
        <v>2427</v>
      </c>
      <c r="CY62" s="1921" t="s">
        <v>952</v>
      </c>
      <c r="CZ62" s="1919" t="s">
        <v>1932</v>
      </c>
      <c r="DA62" s="2923">
        <v>0.4</v>
      </c>
      <c r="DB62" s="2691"/>
      <c r="DC62" s="2691"/>
      <c r="DD62" s="2691"/>
      <c r="DE62" s="2691"/>
      <c r="DF62" s="2691"/>
      <c r="DG62" s="2691"/>
      <c r="DH62" s="2691"/>
      <c r="DI62" s="2691"/>
      <c r="DJ62" s="2691"/>
      <c r="DK62" s="2692"/>
      <c r="DL62" s="2691"/>
      <c r="DM62" s="2691"/>
    </row>
    <row r="63" spans="2:117">
      <c r="B63" s="1916">
        <f t="shared" si="68"/>
        <v>1</v>
      </c>
      <c r="C63" s="1928" t="str">
        <f t="shared" si="1"/>
        <v>機能性</v>
      </c>
      <c r="D63" s="1924" t="e">
        <f>IF(I$62=0,0,G63/I$62)</f>
        <v>#DIV/0!</v>
      </c>
      <c r="E63" s="1925" t="e">
        <f>IF(J$62=0,0,H63/J$62)</f>
        <v>#DIV/0!</v>
      </c>
      <c r="G63" s="1925" t="e">
        <f t="shared" si="64"/>
        <v>#DIV/0!</v>
      </c>
      <c r="H63" s="1925" t="e">
        <f t="shared" si="65"/>
        <v>#DIV/0!</v>
      </c>
      <c r="I63" s="1925" t="e">
        <f>G64+G68+G74</f>
        <v>#DIV/0!</v>
      </c>
      <c r="J63" s="1925" t="e">
        <f>H64+H68+H74</f>
        <v>#DIV/0!</v>
      </c>
      <c r="K63" s="1925" t="e">
        <f>IF(L63&gt;0,1,IF(スコア!O63=0,0,1))</f>
        <v>#DIV/0!</v>
      </c>
      <c r="L63" s="1925" t="e">
        <f>IF(スコア!R63=0,0,1)</f>
        <v>#DIV/0!</v>
      </c>
      <c r="M63" s="1925" t="e">
        <f t="shared" si="66"/>
        <v>#DIV/0!</v>
      </c>
      <c r="N63" s="1925" t="e">
        <f t="shared" si="67"/>
        <v>#DIV/0!</v>
      </c>
      <c r="P63" s="1927">
        <f t="shared" si="6"/>
        <v>1</v>
      </c>
      <c r="Q63" s="1927" t="str">
        <f t="shared" si="7"/>
        <v xml:space="preserve"> Q2</v>
      </c>
      <c r="R63" s="1928" t="str">
        <f t="shared" si="8"/>
        <v>機能性</v>
      </c>
      <c r="S63" s="2808">
        <f t="shared" si="16"/>
        <v>0.4</v>
      </c>
      <c r="T63" s="2808">
        <f t="shared" si="32"/>
        <v>0.4</v>
      </c>
      <c r="U63" s="2808">
        <f t="shared" si="33"/>
        <v>0.4</v>
      </c>
      <c r="V63" s="2808">
        <f t="shared" si="34"/>
        <v>0.4</v>
      </c>
      <c r="W63" s="2808">
        <f t="shared" si="35"/>
        <v>0.4</v>
      </c>
      <c r="X63" s="2808">
        <f t="shared" si="36"/>
        <v>0.4</v>
      </c>
      <c r="Y63" s="2808">
        <f t="shared" si="37"/>
        <v>0.4</v>
      </c>
      <c r="Z63" s="2802">
        <f t="shared" si="38"/>
        <v>0.4</v>
      </c>
      <c r="AA63" s="2794">
        <f>IF($Q$3="coCASB",0,IF($P$3=1,BI63,IF($P$3=2,BZ63,IF($P$3=3,CR63,IF($P$3=4,DI63,AR63)))))</f>
        <v>0.4</v>
      </c>
      <c r="AB63" s="2808">
        <f t="shared" si="10"/>
        <v>0.4</v>
      </c>
      <c r="AC63" s="2809">
        <f t="shared" si="11"/>
        <v>0</v>
      </c>
      <c r="AD63" s="2808">
        <f t="shared" si="12"/>
        <v>0</v>
      </c>
      <c r="AE63" s="2808">
        <f t="shared" si="18"/>
        <v>0</v>
      </c>
      <c r="AG63" s="1927">
        <v>1</v>
      </c>
      <c r="AH63" s="1931" t="s">
        <v>2554</v>
      </c>
      <c r="AI63" s="1928" t="s">
        <v>2555</v>
      </c>
      <c r="AJ63" s="1979">
        <v>0.4</v>
      </c>
      <c r="AK63" s="1979">
        <v>0.4</v>
      </c>
      <c r="AL63" s="1979">
        <v>0.4</v>
      </c>
      <c r="AM63" s="1979">
        <v>0.4</v>
      </c>
      <c r="AN63" s="1979">
        <v>0.4</v>
      </c>
      <c r="AO63" s="1979">
        <v>0.4</v>
      </c>
      <c r="AP63" s="1979">
        <v>0.4</v>
      </c>
      <c r="AQ63" s="1952">
        <v>0.4</v>
      </c>
      <c r="AR63" s="1979">
        <v>0.4</v>
      </c>
      <c r="AS63" s="1980">
        <v>0.4</v>
      </c>
      <c r="AT63" s="1981"/>
      <c r="AU63" s="1980"/>
      <c r="AV63" s="1980"/>
      <c r="AX63" s="1927">
        <v>1</v>
      </c>
      <c r="AY63" s="1931" t="s">
        <v>2554</v>
      </c>
      <c r="AZ63" s="1928" t="s">
        <v>2555</v>
      </c>
      <c r="BA63" s="1980">
        <v>0.4</v>
      </c>
      <c r="BB63" s="1980">
        <v>0.4</v>
      </c>
      <c r="BC63" s="1980">
        <v>0.4</v>
      </c>
      <c r="BD63" s="1980">
        <v>0.4</v>
      </c>
      <c r="BE63" s="1980">
        <v>0.4</v>
      </c>
      <c r="BF63" s="1980">
        <v>0.4</v>
      </c>
      <c r="BG63" s="1980">
        <v>0.4</v>
      </c>
      <c r="BH63" s="1982">
        <v>0.4</v>
      </c>
      <c r="BI63" s="1980">
        <v>0.4</v>
      </c>
      <c r="BJ63" s="1980">
        <v>0.4</v>
      </c>
      <c r="BK63" s="1981"/>
      <c r="BL63" s="1980"/>
      <c r="BM63" s="1980"/>
      <c r="BO63" s="1927">
        <v>1</v>
      </c>
      <c r="BP63" s="1931" t="s">
        <v>2554</v>
      </c>
      <c r="BQ63" s="1928" t="s">
        <v>2555</v>
      </c>
      <c r="BR63" s="1980">
        <v>0.4</v>
      </c>
      <c r="BS63" s="1980">
        <v>0.4</v>
      </c>
      <c r="BT63" s="1980">
        <v>0.4</v>
      </c>
      <c r="BU63" s="1980">
        <v>0.4</v>
      </c>
      <c r="BV63" s="1980">
        <v>0.4</v>
      </c>
      <c r="BW63" s="1980">
        <v>0.4</v>
      </c>
      <c r="BX63" s="1980">
        <v>0.4</v>
      </c>
      <c r="BY63" s="1982">
        <v>0.4</v>
      </c>
      <c r="BZ63" s="1980">
        <v>0.4</v>
      </c>
      <c r="CA63" s="1980">
        <v>0.4</v>
      </c>
      <c r="CB63" s="1981"/>
      <c r="CC63" s="1980"/>
      <c r="CD63" s="1980"/>
      <c r="CE63" s="2270"/>
      <c r="CG63" s="1927">
        <v>1</v>
      </c>
      <c r="CH63" s="1931" t="s">
        <v>2554</v>
      </c>
      <c r="CI63" s="1928" t="s">
        <v>2555</v>
      </c>
      <c r="CJ63" s="2696">
        <v>0.75</v>
      </c>
      <c r="CK63" s="2696">
        <v>0.75</v>
      </c>
      <c r="CL63" s="2696">
        <v>0.75</v>
      </c>
      <c r="CM63" s="2696">
        <v>0.75</v>
      </c>
      <c r="CN63" s="2696">
        <v>0.75</v>
      </c>
      <c r="CO63" s="2696">
        <v>0.75</v>
      </c>
      <c r="CP63" s="2696">
        <v>0.75</v>
      </c>
      <c r="CQ63" s="2696">
        <v>0.75</v>
      </c>
      <c r="CR63" s="2696">
        <v>0.75</v>
      </c>
      <c r="CS63" s="2696">
        <v>0.75</v>
      </c>
      <c r="CT63" s="2697">
        <f t="shared" si="13"/>
        <v>0</v>
      </c>
      <c r="CU63" s="2696">
        <f t="shared" si="14"/>
        <v>0</v>
      </c>
      <c r="CV63" s="2696">
        <f t="shared" si="15"/>
        <v>0</v>
      </c>
      <c r="CX63" s="1927">
        <v>1</v>
      </c>
      <c r="CY63" s="1931" t="s">
        <v>2554</v>
      </c>
      <c r="CZ63" s="1928" t="s">
        <v>2555</v>
      </c>
      <c r="DA63" s="2927">
        <v>0.6</v>
      </c>
      <c r="DB63" s="2696"/>
      <c r="DC63" s="2696"/>
      <c r="DD63" s="2696"/>
      <c r="DE63" s="2696"/>
      <c r="DF63" s="2696"/>
      <c r="DG63" s="2696"/>
      <c r="DH63" s="2696"/>
      <c r="DI63" s="2696"/>
      <c r="DJ63" s="2696"/>
      <c r="DK63" s="2697"/>
      <c r="DL63" s="2696"/>
      <c r="DM63" s="2696"/>
    </row>
    <row r="64" spans="2:117">
      <c r="B64" s="1916">
        <f t="shared" si="68"/>
        <v>1.1000000000000001</v>
      </c>
      <c r="C64" s="1938" t="str">
        <f t="shared" si="1"/>
        <v>機能性・使いやすさ</v>
      </c>
      <c r="D64" s="1935" t="e">
        <f>IF(I$63=0,0,G64/I$63)</f>
        <v>#DIV/0!</v>
      </c>
      <c r="E64" s="1936" t="e">
        <f>IF(J$63=0,0,H64/J$63)</f>
        <v>#DIV/0!</v>
      </c>
      <c r="G64" s="1936" t="e">
        <f t="shared" si="64"/>
        <v>#DIV/0!</v>
      </c>
      <c r="H64" s="1936" t="e">
        <f t="shared" si="65"/>
        <v>#DIV/0!</v>
      </c>
      <c r="I64" s="1936" t="e">
        <f>SUM(G65:G67)</f>
        <v>#DIV/0!</v>
      </c>
      <c r="J64" s="1936" t="e">
        <f>SUM(H65:H67)</f>
        <v>#DIV/0!</v>
      </c>
      <c r="K64" s="1936" t="e">
        <f>IF(スコア!O64=0,0,1)</f>
        <v>#DIV/0!</v>
      </c>
      <c r="L64" s="1936" t="e">
        <f>IF(スコア!R64=0,0,1)</f>
        <v>#DIV/0!</v>
      </c>
      <c r="M64" s="1936" t="e">
        <f t="shared" si="66"/>
        <v>#DIV/0!</v>
      </c>
      <c r="N64" s="1936" t="e">
        <f t="shared" si="67"/>
        <v>#DIV/0!</v>
      </c>
      <c r="P64" s="1937">
        <f t="shared" si="6"/>
        <v>1.1000000000000001</v>
      </c>
      <c r="Q64" s="1937" t="str">
        <f t="shared" si="7"/>
        <v xml:space="preserve"> Q2 1</v>
      </c>
      <c r="R64" s="1938" t="str">
        <f t="shared" si="8"/>
        <v>機能性・使いやすさ</v>
      </c>
      <c r="S64" s="2799">
        <f t="shared" ref="S64:S127" si="74">IF($P$3=1,BA64,IF($P$3=2,BR64,IF($P$3=3,CJ64,IF($P$3=4,DA64,AJ64))))</f>
        <v>0.4</v>
      </c>
      <c r="T64" s="2799">
        <f t="shared" ref="T64:T127" si="75">IF($P$3=1,BB64,IF($P$3=2,BS64,IF($P$3=3,CK64,IF($P$3=4,DB64,AK64))))</f>
        <v>0.4</v>
      </c>
      <c r="U64" s="2799">
        <f t="shared" ref="U64:U127" si="76">IF($P$3=1,BC64,IF($P$3=2,BT64,IF($P$3=3,CL64,IF($P$3=4,DC64,AL64))))</f>
        <v>0.4</v>
      </c>
      <c r="V64" s="2799">
        <f t="shared" ref="V64:V127" si="77">IF($P$3=1,BD64,IF($P$3=2,BU64,IF($P$3=3,CM64,IF($P$3=4,DD64,AM64))))</f>
        <v>0.4</v>
      </c>
      <c r="W64" s="2799">
        <f t="shared" ref="W64:W127" si="78">IF($P$3=1,BE64,IF($P$3=2,BV64,IF($P$3=3,CN64,IF($P$3=4,DE64,AN64))))</f>
        <v>0.4</v>
      </c>
      <c r="X64" s="2799">
        <f t="shared" ref="X64:X127" si="79">IF($P$3=1,BF64,IF($P$3=2,BW64,IF($P$3=3,CO64,IF($P$3=4,DF64,AO64))))</f>
        <v>0.4</v>
      </c>
      <c r="Y64" s="2799">
        <f t="shared" ref="Y64:Y127" si="80">IF($P$3=1,BG64,IF($P$3=2,BX64,IF($P$3=3,CP64,IF($P$3=4,DG64,AP64))))</f>
        <v>0.4</v>
      </c>
      <c r="Z64" s="2803">
        <f t="shared" ref="Z64:Z127" si="81">IF($P$3=1,BH64,IF($P$3=2,BY64,IF($P$3=3,CQ64,IF($P$3=4,DH64,AQ64))))</f>
        <v>0.4</v>
      </c>
      <c r="AA64" s="2799">
        <f t="shared" ref="AA64:AA127" si="82">IF($P$3=1,BI64,IF($P$3=2,BZ64,IF($P$3=3,CR64,IF($P$3=4,DI64,AR64))))</f>
        <v>0.4</v>
      </c>
      <c r="AB64" s="2799">
        <f t="shared" ref="AB64:AB127" si="83">IF($P$3=1,BJ64,IF($P$3=2,CA64,IF($P$3=3,CS64,IF($P$3=4,DJ64,AS64))))</f>
        <v>0.4</v>
      </c>
      <c r="AC64" s="2800">
        <f t="shared" ref="AC64:AC127" si="84">IF($P$3=1,BK64,IF($P$3=2,CB64,IF($P$3=3,CT64,IF($P$3=4,DK64,AT64))))</f>
        <v>0.6</v>
      </c>
      <c r="AD64" s="2799">
        <f t="shared" ref="AD64:AD127" si="85">IF($P$3=1,BL64,IF($P$3=2,CC64,IF($P$3=3,CU64,IF($P$3=4,DL64,AU64))))</f>
        <v>0.6</v>
      </c>
      <c r="AE64" s="2799">
        <f t="shared" ref="AE64:AE127" si="86">IF($P$3=1,BM64,IF($P$3=2,CD64,IF($P$3=3,CV64,IF($P$3=4,DM64,AV64))))</f>
        <v>0.6</v>
      </c>
      <c r="AG64" s="1937">
        <v>1.1000000000000001</v>
      </c>
      <c r="AH64" s="1941" t="s">
        <v>2556</v>
      </c>
      <c r="AI64" s="1942" t="s">
        <v>2557</v>
      </c>
      <c r="AJ64" s="1939">
        <v>0.4</v>
      </c>
      <c r="AK64" s="1939">
        <v>0.4</v>
      </c>
      <c r="AL64" s="1939">
        <v>0.4</v>
      </c>
      <c r="AM64" s="1943">
        <v>0.4</v>
      </c>
      <c r="AN64" s="1943">
        <v>0.4</v>
      </c>
      <c r="AO64" s="1939">
        <v>0.4</v>
      </c>
      <c r="AP64" s="1943">
        <v>0.4</v>
      </c>
      <c r="AQ64" s="1939">
        <v>0.4</v>
      </c>
      <c r="AR64" s="1943">
        <v>0.4</v>
      </c>
      <c r="AS64" s="1944">
        <v>0.4</v>
      </c>
      <c r="AT64" s="1944">
        <v>0.6</v>
      </c>
      <c r="AU64" s="1944">
        <v>0.6</v>
      </c>
      <c r="AV64" s="1944">
        <v>0.6</v>
      </c>
      <c r="AX64" s="1937">
        <v>1.1000000000000001</v>
      </c>
      <c r="AY64" s="1941" t="s">
        <v>2556</v>
      </c>
      <c r="AZ64" s="1942" t="s">
        <v>2557</v>
      </c>
      <c r="BA64" s="1944">
        <v>0.4</v>
      </c>
      <c r="BB64" s="1944">
        <v>0.4</v>
      </c>
      <c r="BC64" s="1944">
        <v>0.4</v>
      </c>
      <c r="BD64" s="1944">
        <v>0.4</v>
      </c>
      <c r="BE64" s="1944">
        <v>0.4</v>
      </c>
      <c r="BF64" s="1944">
        <v>0.4</v>
      </c>
      <c r="BG64" s="1944">
        <v>0.4</v>
      </c>
      <c r="BH64" s="1951">
        <v>0.4</v>
      </c>
      <c r="BI64" s="1944">
        <v>0.4</v>
      </c>
      <c r="BJ64" s="1944">
        <v>0.4</v>
      </c>
      <c r="BK64" s="1944">
        <v>0.6</v>
      </c>
      <c r="BL64" s="1944">
        <v>0.6</v>
      </c>
      <c r="BM64" s="1944">
        <v>0.6</v>
      </c>
      <c r="BO64" s="1937">
        <v>1.1000000000000001</v>
      </c>
      <c r="BP64" s="1941" t="s">
        <v>2556</v>
      </c>
      <c r="BQ64" s="1942" t="s">
        <v>2557</v>
      </c>
      <c r="BR64" s="1944">
        <v>0.4</v>
      </c>
      <c r="BS64" s="1944">
        <v>0.4</v>
      </c>
      <c r="BT64" s="1944">
        <v>0.4</v>
      </c>
      <c r="BU64" s="1944">
        <v>0.4</v>
      </c>
      <c r="BV64" s="1944">
        <v>0.4</v>
      </c>
      <c r="BW64" s="1944">
        <v>0.4</v>
      </c>
      <c r="BX64" s="1944">
        <v>0.4</v>
      </c>
      <c r="BY64" s="1951">
        <v>0.4</v>
      </c>
      <c r="BZ64" s="1944">
        <v>0.4</v>
      </c>
      <c r="CA64" s="1944">
        <v>0.4</v>
      </c>
      <c r="CB64" s="1944">
        <v>0.6</v>
      </c>
      <c r="CC64" s="1944">
        <v>0.6</v>
      </c>
      <c r="CD64" s="1944">
        <v>0.6</v>
      </c>
      <c r="CE64" s="2272"/>
      <c r="CG64" s="1937">
        <v>1.1000000000000001</v>
      </c>
      <c r="CH64" s="1941" t="s">
        <v>2556</v>
      </c>
      <c r="CI64" s="1942" t="s">
        <v>2557</v>
      </c>
      <c r="CJ64" s="2706">
        <f t="shared" si="19"/>
        <v>0.4</v>
      </c>
      <c r="CK64" s="2706">
        <f t="shared" si="20"/>
        <v>0.4</v>
      </c>
      <c r="CL64" s="2706">
        <f t="shared" si="21"/>
        <v>0.4</v>
      </c>
      <c r="CM64" s="2706">
        <f t="shared" si="22"/>
        <v>0.4</v>
      </c>
      <c r="CN64" s="2706">
        <f t="shared" si="23"/>
        <v>0.4</v>
      </c>
      <c r="CO64" s="2706">
        <f t="shared" si="24"/>
        <v>0.4</v>
      </c>
      <c r="CP64" s="2706">
        <f t="shared" si="25"/>
        <v>0.4</v>
      </c>
      <c r="CQ64" s="2718">
        <f t="shared" si="26"/>
        <v>0.4</v>
      </c>
      <c r="CR64" s="2706">
        <f t="shared" si="27"/>
        <v>0.4</v>
      </c>
      <c r="CS64" s="2706">
        <f t="shared" si="28"/>
        <v>0.4</v>
      </c>
      <c r="CT64" s="2706">
        <f t="shared" si="13"/>
        <v>0.6</v>
      </c>
      <c r="CU64" s="2706">
        <f t="shared" si="14"/>
        <v>0.6</v>
      </c>
      <c r="CV64" s="2706">
        <f t="shared" si="15"/>
        <v>0.6</v>
      </c>
      <c r="CX64" s="1937">
        <v>1.1000000000000001</v>
      </c>
      <c r="CY64" s="1941" t="s">
        <v>2556</v>
      </c>
      <c r="CZ64" s="1942" t="s">
        <v>2557</v>
      </c>
      <c r="DA64" s="2695">
        <f t="shared" si="29"/>
        <v>0.4</v>
      </c>
      <c r="DB64" s="2695"/>
      <c r="DC64" s="2695"/>
      <c r="DD64" s="2695"/>
      <c r="DE64" s="2695"/>
      <c r="DF64" s="2695"/>
      <c r="DG64" s="2695"/>
      <c r="DH64" s="2778"/>
      <c r="DI64" s="2695"/>
      <c r="DJ64" s="2695"/>
      <c r="DK64" s="2695"/>
      <c r="DL64" s="2695"/>
      <c r="DM64" s="2695"/>
    </row>
    <row r="65" spans="2:117">
      <c r="B65" s="1916" t="str">
        <f t="shared" si="68"/>
        <v>1.1.1</v>
      </c>
      <c r="C65" s="1938" t="str">
        <f t="shared" si="1"/>
        <v>広さ・収納性</v>
      </c>
      <c r="D65" s="1926" t="e">
        <f t="shared" ref="D65:E67" si="87">IF(I$64&gt;0,G65/I$64,0)</f>
        <v>#DIV/0!</v>
      </c>
      <c r="E65" s="1936" t="e">
        <f t="shared" si="87"/>
        <v>#DIV/0!</v>
      </c>
      <c r="G65" s="1936" t="e">
        <f t="shared" si="64"/>
        <v>#DIV/0!</v>
      </c>
      <c r="H65" s="1936" t="e">
        <f t="shared" si="65"/>
        <v>#DIV/0!</v>
      </c>
      <c r="I65" s="1936"/>
      <c r="J65" s="1936"/>
      <c r="K65" s="1936">
        <f>IF(スコア!O65=0,0,1)</f>
        <v>1</v>
      </c>
      <c r="L65" s="1936">
        <f>IF(スコア!R65=0,0,1)</f>
        <v>1</v>
      </c>
      <c r="M65" s="1936" t="e">
        <f t="shared" si="66"/>
        <v>#DIV/0!</v>
      </c>
      <c r="N65" s="1936" t="e">
        <f t="shared" si="67"/>
        <v>#DIV/0!</v>
      </c>
      <c r="P65" s="1937" t="str">
        <f t="shared" si="6"/>
        <v>1.1.1</v>
      </c>
      <c r="Q65" s="1937" t="str">
        <f t="shared" si="7"/>
        <v xml:space="preserve"> Q2 1.1</v>
      </c>
      <c r="R65" s="1938" t="str">
        <f t="shared" si="8"/>
        <v>広さ・収納性</v>
      </c>
      <c r="S65" s="2799">
        <f t="shared" si="74"/>
        <v>0.33333333333333331</v>
      </c>
      <c r="T65" s="2799">
        <f t="shared" si="75"/>
        <v>0</v>
      </c>
      <c r="U65" s="2799">
        <f t="shared" si="76"/>
        <v>0</v>
      </c>
      <c r="V65" s="2799">
        <f t="shared" si="77"/>
        <v>0</v>
      </c>
      <c r="W65" s="2799">
        <f t="shared" si="78"/>
        <v>0</v>
      </c>
      <c r="X65" s="2799">
        <f t="shared" si="79"/>
        <v>0</v>
      </c>
      <c r="Y65" s="2799">
        <f t="shared" si="80"/>
        <v>0</v>
      </c>
      <c r="Z65" s="2803">
        <f t="shared" si="81"/>
        <v>0</v>
      </c>
      <c r="AA65" s="2799">
        <f t="shared" si="82"/>
        <v>0.33333333333333331</v>
      </c>
      <c r="AB65" s="2799">
        <f t="shared" si="83"/>
        <v>0</v>
      </c>
      <c r="AC65" s="2800">
        <f t="shared" si="84"/>
        <v>1</v>
      </c>
      <c r="AD65" s="2799">
        <f t="shared" si="85"/>
        <v>0.5</v>
      </c>
      <c r="AE65" s="2799">
        <f t="shared" si="86"/>
        <v>0</v>
      </c>
      <c r="AG65" s="1937" t="s">
        <v>2722</v>
      </c>
      <c r="AH65" s="1941" t="s">
        <v>2558</v>
      </c>
      <c r="AI65" s="1942" t="s">
        <v>2559</v>
      </c>
      <c r="AJ65" s="1977">
        <v>0.33333333333333331</v>
      </c>
      <c r="AK65" s="1939"/>
      <c r="AL65" s="1939"/>
      <c r="AM65" s="1939"/>
      <c r="AN65" s="1939"/>
      <c r="AO65" s="1939"/>
      <c r="AP65" s="1939"/>
      <c r="AQ65" s="1955"/>
      <c r="AR65" s="1977">
        <v>0.33333333333333331</v>
      </c>
      <c r="AS65" s="1958">
        <v>0.5</v>
      </c>
      <c r="AT65" s="1945">
        <v>1</v>
      </c>
      <c r="AU65" s="1944">
        <v>0.5</v>
      </c>
      <c r="AV65" s="1944"/>
      <c r="AX65" s="1937" t="s">
        <v>2722</v>
      </c>
      <c r="AY65" s="1941" t="s">
        <v>2558</v>
      </c>
      <c r="AZ65" s="1942" t="s">
        <v>2559</v>
      </c>
      <c r="BA65" s="1944">
        <v>0.33333333333333331</v>
      </c>
      <c r="BB65" s="1944"/>
      <c r="BC65" s="1944"/>
      <c r="BD65" s="1944"/>
      <c r="BE65" s="1944"/>
      <c r="BF65" s="1944"/>
      <c r="BG65" s="1944"/>
      <c r="BH65" s="1951"/>
      <c r="BI65" s="1944">
        <v>0.33333333333333331</v>
      </c>
      <c r="BJ65" s="1944">
        <v>0.5</v>
      </c>
      <c r="BK65" s="1945">
        <v>1</v>
      </c>
      <c r="BL65" s="1944">
        <v>0.5</v>
      </c>
      <c r="BM65" s="1944"/>
      <c r="BO65" s="1937" t="s">
        <v>2722</v>
      </c>
      <c r="BP65" s="1941" t="s">
        <v>2558</v>
      </c>
      <c r="BQ65" s="1942" t="s">
        <v>2559</v>
      </c>
      <c r="BR65" s="1944">
        <v>0.33333333333333331</v>
      </c>
      <c r="BS65" s="1944"/>
      <c r="BT65" s="1944"/>
      <c r="BU65" s="1944"/>
      <c r="BV65" s="1944"/>
      <c r="BW65" s="1944"/>
      <c r="BX65" s="1944"/>
      <c r="BY65" s="1951"/>
      <c r="BZ65" s="1944">
        <v>0.33333333333333331</v>
      </c>
      <c r="CA65" s="1944"/>
      <c r="CB65" s="1945">
        <v>1</v>
      </c>
      <c r="CC65" s="1944">
        <v>0.5</v>
      </c>
      <c r="CD65" s="1944"/>
      <c r="CE65" s="2272"/>
      <c r="CG65" s="1937" t="s">
        <v>2722</v>
      </c>
      <c r="CH65" s="1941" t="s">
        <v>2558</v>
      </c>
      <c r="CI65" s="1942" t="s">
        <v>2559</v>
      </c>
      <c r="CJ65" s="2706">
        <f t="shared" si="19"/>
        <v>0.33333333333333331</v>
      </c>
      <c r="CK65" s="2706">
        <f t="shared" si="20"/>
        <v>0</v>
      </c>
      <c r="CL65" s="2706">
        <f t="shared" si="21"/>
        <v>0</v>
      </c>
      <c r="CM65" s="2706">
        <f t="shared" si="22"/>
        <v>0</v>
      </c>
      <c r="CN65" s="2706">
        <f t="shared" si="23"/>
        <v>0</v>
      </c>
      <c r="CO65" s="2706">
        <f t="shared" si="24"/>
        <v>0</v>
      </c>
      <c r="CP65" s="2706">
        <f t="shared" si="25"/>
        <v>0</v>
      </c>
      <c r="CQ65" s="2718">
        <f t="shared" si="26"/>
        <v>0</v>
      </c>
      <c r="CR65" s="2706">
        <f t="shared" si="27"/>
        <v>0.33333333333333331</v>
      </c>
      <c r="CS65" s="2706">
        <f t="shared" si="28"/>
        <v>0</v>
      </c>
      <c r="CT65" s="2708">
        <f t="shared" si="13"/>
        <v>1</v>
      </c>
      <c r="CU65" s="2706">
        <f t="shared" si="14"/>
        <v>0.5</v>
      </c>
      <c r="CV65" s="2706">
        <f t="shared" si="15"/>
        <v>0</v>
      </c>
      <c r="CX65" s="1937" t="s">
        <v>2722</v>
      </c>
      <c r="CY65" s="1941" t="s">
        <v>2558</v>
      </c>
      <c r="CZ65" s="1942" t="s">
        <v>2559</v>
      </c>
      <c r="DA65" s="2695">
        <f t="shared" si="29"/>
        <v>0.33333333333333331</v>
      </c>
      <c r="DB65" s="2695"/>
      <c r="DC65" s="2695"/>
      <c r="DD65" s="2695"/>
      <c r="DE65" s="2695"/>
      <c r="DF65" s="2695"/>
      <c r="DG65" s="2695"/>
      <c r="DH65" s="2778"/>
      <c r="DI65" s="2695"/>
      <c r="DJ65" s="2695"/>
      <c r="DK65" s="2905"/>
      <c r="DL65" s="2695"/>
      <c r="DM65" s="2695"/>
    </row>
    <row r="66" spans="2:117">
      <c r="B66" s="1916" t="str">
        <f t="shared" si="68"/>
        <v>1.1.2</v>
      </c>
      <c r="C66" s="1938" t="str">
        <f t="shared" si="1"/>
        <v>高度情報通信設備対応</v>
      </c>
      <c r="D66" s="1926" t="e">
        <f t="shared" si="87"/>
        <v>#DIV/0!</v>
      </c>
      <c r="E66" s="1936" t="e">
        <f t="shared" si="87"/>
        <v>#DIV/0!</v>
      </c>
      <c r="G66" s="1936" t="e">
        <f t="shared" si="64"/>
        <v>#DIV/0!</v>
      </c>
      <c r="H66" s="1936" t="e">
        <f t="shared" si="65"/>
        <v>#DIV/0!</v>
      </c>
      <c r="I66" s="1936"/>
      <c r="J66" s="1936"/>
      <c r="K66" s="1936">
        <f>IF(スコア!O66=0,0,1)</f>
        <v>1</v>
      </c>
      <c r="L66" s="1936">
        <f>IF(スコア!R66=0,0,1)</f>
        <v>1</v>
      </c>
      <c r="M66" s="1936" t="e">
        <f t="shared" si="66"/>
        <v>#DIV/0!</v>
      </c>
      <c r="N66" s="1936" t="e">
        <f t="shared" si="67"/>
        <v>#DIV/0!</v>
      </c>
      <c r="P66" s="1937" t="str">
        <f t="shared" si="6"/>
        <v>1.1.2</v>
      </c>
      <c r="Q66" s="1937" t="str">
        <f t="shared" si="7"/>
        <v xml:space="preserve"> Q2 1.1</v>
      </c>
      <c r="R66" s="1938" t="str">
        <f t="shared" si="8"/>
        <v>高度情報通信設備対応</v>
      </c>
      <c r="S66" s="2799">
        <f t="shared" si="74"/>
        <v>0.33333333333333331</v>
      </c>
      <c r="T66" s="2799">
        <f t="shared" si="75"/>
        <v>0</v>
      </c>
      <c r="U66" s="2799">
        <f t="shared" si="76"/>
        <v>0</v>
      </c>
      <c r="V66" s="2799">
        <f t="shared" si="77"/>
        <v>0</v>
      </c>
      <c r="W66" s="2799">
        <f t="shared" si="78"/>
        <v>0</v>
      </c>
      <c r="X66" s="2799">
        <f t="shared" si="79"/>
        <v>0</v>
      </c>
      <c r="Y66" s="2799">
        <f t="shared" si="80"/>
        <v>0</v>
      </c>
      <c r="Z66" s="2803">
        <f t="shared" si="81"/>
        <v>0</v>
      </c>
      <c r="AA66" s="2799">
        <f t="shared" si="82"/>
        <v>0.33333333333333331</v>
      </c>
      <c r="AB66" s="2799">
        <f t="shared" si="83"/>
        <v>0</v>
      </c>
      <c r="AC66" s="2800">
        <f t="shared" si="84"/>
        <v>0</v>
      </c>
      <c r="AD66" s="2799">
        <f t="shared" si="85"/>
        <v>0.5</v>
      </c>
      <c r="AE66" s="2799">
        <f t="shared" si="86"/>
        <v>1</v>
      </c>
      <c r="AG66" s="1937" t="s">
        <v>2723</v>
      </c>
      <c r="AH66" s="1941" t="s">
        <v>2558</v>
      </c>
      <c r="AI66" s="1942" t="s">
        <v>2724</v>
      </c>
      <c r="AJ66" s="1977">
        <v>0.33333333333333331</v>
      </c>
      <c r="AK66" s="1939"/>
      <c r="AL66" s="1939"/>
      <c r="AM66" s="1939"/>
      <c r="AN66" s="1939"/>
      <c r="AO66" s="1939"/>
      <c r="AP66" s="1939"/>
      <c r="AQ66" s="1955"/>
      <c r="AR66" s="1977">
        <v>0.33333333333333331</v>
      </c>
      <c r="AS66" s="1958"/>
      <c r="AT66" s="1945"/>
      <c r="AU66" s="1944">
        <v>0.5</v>
      </c>
      <c r="AV66" s="1944">
        <v>1</v>
      </c>
      <c r="AX66" s="1937" t="s">
        <v>2723</v>
      </c>
      <c r="AY66" s="1941" t="s">
        <v>2558</v>
      </c>
      <c r="AZ66" s="1942" t="s">
        <v>2724</v>
      </c>
      <c r="BA66" s="1944">
        <v>0.33333333333333331</v>
      </c>
      <c r="BB66" s="1944"/>
      <c r="BC66" s="1944"/>
      <c r="BD66" s="1944"/>
      <c r="BE66" s="1944"/>
      <c r="BF66" s="1944"/>
      <c r="BG66" s="1944"/>
      <c r="BH66" s="1951"/>
      <c r="BI66" s="1944">
        <v>0.33333333333333331</v>
      </c>
      <c r="BJ66" s="1944"/>
      <c r="BK66" s="1945"/>
      <c r="BL66" s="1944">
        <v>0.5</v>
      </c>
      <c r="BM66" s="1944">
        <v>1</v>
      </c>
      <c r="BO66" s="1937" t="s">
        <v>2723</v>
      </c>
      <c r="BP66" s="1941" t="s">
        <v>2558</v>
      </c>
      <c r="BQ66" s="1942" t="s">
        <v>2724</v>
      </c>
      <c r="BR66" s="1944">
        <v>0.33333333333333331</v>
      </c>
      <c r="BS66" s="1944"/>
      <c r="BT66" s="1944"/>
      <c r="BU66" s="1944"/>
      <c r="BV66" s="1944"/>
      <c r="BW66" s="1944"/>
      <c r="BX66" s="1944"/>
      <c r="BY66" s="1951"/>
      <c r="BZ66" s="1944">
        <v>0.33333333333333331</v>
      </c>
      <c r="CA66" s="1944"/>
      <c r="CB66" s="1945"/>
      <c r="CC66" s="1944">
        <v>0.5</v>
      </c>
      <c r="CD66" s="1944">
        <v>1</v>
      </c>
      <c r="CE66" s="2272"/>
      <c r="CG66" s="1937" t="s">
        <v>2723</v>
      </c>
      <c r="CH66" s="1941" t="s">
        <v>2558</v>
      </c>
      <c r="CI66" s="1942" t="s">
        <v>2724</v>
      </c>
      <c r="CJ66" s="2706">
        <f t="shared" si="19"/>
        <v>0.33333333333333331</v>
      </c>
      <c r="CK66" s="2706">
        <f t="shared" si="20"/>
        <v>0</v>
      </c>
      <c r="CL66" s="2706">
        <f t="shared" si="21"/>
        <v>0</v>
      </c>
      <c r="CM66" s="2706">
        <f t="shared" si="22"/>
        <v>0</v>
      </c>
      <c r="CN66" s="2706">
        <f t="shared" si="23"/>
        <v>0</v>
      </c>
      <c r="CO66" s="2706">
        <f t="shared" si="24"/>
        <v>0</v>
      </c>
      <c r="CP66" s="2706">
        <f t="shared" si="25"/>
        <v>0</v>
      </c>
      <c r="CQ66" s="2718">
        <f t="shared" si="26"/>
        <v>0</v>
      </c>
      <c r="CR66" s="2706">
        <f t="shared" si="27"/>
        <v>0.33333333333333331</v>
      </c>
      <c r="CS66" s="2706">
        <f t="shared" si="28"/>
        <v>0</v>
      </c>
      <c r="CT66" s="2708">
        <f t="shared" si="13"/>
        <v>0</v>
      </c>
      <c r="CU66" s="2706">
        <f t="shared" si="14"/>
        <v>0.5</v>
      </c>
      <c r="CV66" s="2706">
        <f t="shared" si="15"/>
        <v>1</v>
      </c>
      <c r="CX66" s="1937" t="s">
        <v>2723</v>
      </c>
      <c r="CY66" s="1941" t="s">
        <v>2558</v>
      </c>
      <c r="CZ66" s="1942" t="s">
        <v>2724</v>
      </c>
      <c r="DA66" s="2695">
        <f t="shared" si="29"/>
        <v>0.33333333333333331</v>
      </c>
      <c r="DB66" s="2695"/>
      <c r="DC66" s="2695"/>
      <c r="DD66" s="2695"/>
      <c r="DE66" s="2695"/>
      <c r="DF66" s="2695"/>
      <c r="DG66" s="2695"/>
      <c r="DH66" s="2778"/>
      <c r="DI66" s="2695"/>
      <c r="DJ66" s="2695"/>
      <c r="DK66" s="2905"/>
      <c r="DL66" s="2695"/>
      <c r="DM66" s="2695"/>
    </row>
    <row r="67" spans="2:117">
      <c r="B67" s="1916" t="str">
        <f t="shared" si="68"/>
        <v>1.1.3</v>
      </c>
      <c r="C67" s="1938" t="str">
        <f t="shared" si="1"/>
        <v>バリアフリー計画</v>
      </c>
      <c r="D67" s="1926" t="e">
        <f t="shared" si="87"/>
        <v>#DIV/0!</v>
      </c>
      <c r="E67" s="1936" t="e">
        <f t="shared" si="87"/>
        <v>#DIV/0!</v>
      </c>
      <c r="G67" s="1936" t="e">
        <f t="shared" si="64"/>
        <v>#DIV/0!</v>
      </c>
      <c r="H67" s="1936" t="e">
        <f t="shared" si="65"/>
        <v>#DIV/0!</v>
      </c>
      <c r="I67" s="1936"/>
      <c r="J67" s="1936"/>
      <c r="K67" s="1936">
        <f>IF(スコア!O67=0,0,1)</f>
        <v>1</v>
      </c>
      <c r="L67" s="1936">
        <f>IF(スコア!R67=0,0,1)</f>
        <v>0</v>
      </c>
      <c r="M67" s="1936" t="e">
        <f t="shared" si="66"/>
        <v>#DIV/0!</v>
      </c>
      <c r="N67" s="1936" t="e">
        <f t="shared" si="67"/>
        <v>#DIV/0!</v>
      </c>
      <c r="P67" s="1937" t="str">
        <f t="shared" si="6"/>
        <v>1.1.3</v>
      </c>
      <c r="Q67" s="1937" t="str">
        <f t="shared" si="7"/>
        <v xml:space="preserve"> Q2 1.1</v>
      </c>
      <c r="R67" s="1938" t="str">
        <f t="shared" si="8"/>
        <v>バリアフリー計画</v>
      </c>
      <c r="S67" s="2799">
        <f t="shared" si="74"/>
        <v>0.33333333333333331</v>
      </c>
      <c r="T67" s="2799">
        <f t="shared" si="75"/>
        <v>1</v>
      </c>
      <c r="U67" s="2799">
        <f t="shared" si="76"/>
        <v>1</v>
      </c>
      <c r="V67" s="2799">
        <f t="shared" si="77"/>
        <v>1</v>
      </c>
      <c r="W67" s="2799">
        <f t="shared" si="78"/>
        <v>1</v>
      </c>
      <c r="X67" s="2799">
        <f t="shared" si="79"/>
        <v>1</v>
      </c>
      <c r="Y67" s="2799">
        <f t="shared" si="80"/>
        <v>1</v>
      </c>
      <c r="Z67" s="2803">
        <f t="shared" si="81"/>
        <v>1</v>
      </c>
      <c r="AA67" s="2799">
        <f t="shared" si="82"/>
        <v>0.33333333333333331</v>
      </c>
      <c r="AB67" s="2799">
        <f t="shared" si="83"/>
        <v>1</v>
      </c>
      <c r="AC67" s="2800">
        <f t="shared" si="84"/>
        <v>0</v>
      </c>
      <c r="AD67" s="2799">
        <f t="shared" si="85"/>
        <v>0</v>
      </c>
      <c r="AE67" s="2799">
        <f t="shared" si="86"/>
        <v>0</v>
      </c>
      <c r="AG67" s="1937" t="s">
        <v>2725</v>
      </c>
      <c r="AH67" s="1941" t="s">
        <v>2558</v>
      </c>
      <c r="AI67" s="1942" t="s">
        <v>2560</v>
      </c>
      <c r="AJ67" s="1977">
        <v>0.33333333333333331</v>
      </c>
      <c r="AK67" s="1939">
        <v>1</v>
      </c>
      <c r="AL67" s="1939">
        <v>1</v>
      </c>
      <c r="AM67" s="1939">
        <v>1</v>
      </c>
      <c r="AN67" s="1939">
        <v>1</v>
      </c>
      <c r="AO67" s="1939">
        <v>1</v>
      </c>
      <c r="AP67" s="1939">
        <v>1</v>
      </c>
      <c r="AQ67" s="1955">
        <v>1</v>
      </c>
      <c r="AR67" s="1977">
        <v>0.33333333333333331</v>
      </c>
      <c r="AS67" s="1958">
        <v>0.5</v>
      </c>
      <c r="AT67" s="1945"/>
      <c r="AU67" s="1944"/>
      <c r="AV67" s="1944"/>
      <c r="AX67" s="1937" t="s">
        <v>2725</v>
      </c>
      <c r="AY67" s="1941" t="s">
        <v>2558</v>
      </c>
      <c r="AZ67" s="1942" t="s">
        <v>2560</v>
      </c>
      <c r="BA67" s="1944">
        <v>0.33333333333333331</v>
      </c>
      <c r="BB67" s="1944">
        <v>1</v>
      </c>
      <c r="BC67" s="1944">
        <v>1</v>
      </c>
      <c r="BD67" s="1944">
        <v>1</v>
      </c>
      <c r="BE67" s="1944">
        <v>1</v>
      </c>
      <c r="BF67" s="1944">
        <v>1</v>
      </c>
      <c r="BG67" s="1944">
        <v>1</v>
      </c>
      <c r="BH67" s="1951">
        <v>1</v>
      </c>
      <c r="BI67" s="1944">
        <v>0.33333333333333331</v>
      </c>
      <c r="BJ67" s="1944">
        <v>0.5</v>
      </c>
      <c r="BK67" s="1945"/>
      <c r="BL67" s="1944"/>
      <c r="BM67" s="1944"/>
      <c r="BO67" s="1937" t="s">
        <v>2725</v>
      </c>
      <c r="BP67" s="1941" t="s">
        <v>2558</v>
      </c>
      <c r="BQ67" s="1942" t="s">
        <v>2560</v>
      </c>
      <c r="BR67" s="1944">
        <v>0.33333333333333331</v>
      </c>
      <c r="BS67" s="1944">
        <v>1</v>
      </c>
      <c r="BT67" s="1944">
        <v>1</v>
      </c>
      <c r="BU67" s="1944">
        <v>1</v>
      </c>
      <c r="BV67" s="1944">
        <v>1</v>
      </c>
      <c r="BW67" s="1944">
        <v>1</v>
      </c>
      <c r="BX67" s="1944">
        <v>1</v>
      </c>
      <c r="BY67" s="1951">
        <v>1</v>
      </c>
      <c r="BZ67" s="1944">
        <v>0.33333333333333331</v>
      </c>
      <c r="CA67" s="1944">
        <v>1</v>
      </c>
      <c r="CB67" s="1945"/>
      <c r="CC67" s="1944"/>
      <c r="CD67" s="1944"/>
      <c r="CE67" s="2272"/>
      <c r="CG67" s="1937" t="s">
        <v>2725</v>
      </c>
      <c r="CH67" s="1941" t="s">
        <v>2558</v>
      </c>
      <c r="CI67" s="1942" t="s">
        <v>2560</v>
      </c>
      <c r="CJ67" s="2706">
        <f t="shared" si="19"/>
        <v>0.33333333333333331</v>
      </c>
      <c r="CK67" s="2706">
        <f t="shared" si="20"/>
        <v>1</v>
      </c>
      <c r="CL67" s="2706">
        <f t="shared" si="21"/>
        <v>1</v>
      </c>
      <c r="CM67" s="2706">
        <f t="shared" si="22"/>
        <v>1</v>
      </c>
      <c r="CN67" s="2706">
        <f t="shared" si="23"/>
        <v>1</v>
      </c>
      <c r="CO67" s="2706">
        <f t="shared" si="24"/>
        <v>1</v>
      </c>
      <c r="CP67" s="2706">
        <f t="shared" si="25"/>
        <v>1</v>
      </c>
      <c r="CQ67" s="2718">
        <f t="shared" si="26"/>
        <v>1</v>
      </c>
      <c r="CR67" s="2706">
        <f t="shared" si="27"/>
        <v>0.33333333333333331</v>
      </c>
      <c r="CS67" s="2706">
        <f t="shared" si="28"/>
        <v>1</v>
      </c>
      <c r="CT67" s="2708">
        <f t="shared" si="13"/>
        <v>0</v>
      </c>
      <c r="CU67" s="2706">
        <f t="shared" si="14"/>
        <v>0</v>
      </c>
      <c r="CV67" s="2706">
        <f t="shared" si="15"/>
        <v>0</v>
      </c>
      <c r="CX67" s="1937" t="s">
        <v>2725</v>
      </c>
      <c r="CY67" s="1941" t="s">
        <v>2558</v>
      </c>
      <c r="CZ67" s="1942" t="s">
        <v>2560</v>
      </c>
      <c r="DA67" s="2695">
        <f t="shared" si="29"/>
        <v>0.33333333333333331</v>
      </c>
      <c r="DB67" s="2695"/>
      <c r="DC67" s="2695"/>
      <c r="DD67" s="2695"/>
      <c r="DE67" s="2695"/>
      <c r="DF67" s="2695"/>
      <c r="DG67" s="2695"/>
      <c r="DH67" s="2778"/>
      <c r="DI67" s="2695"/>
      <c r="DJ67" s="2695"/>
      <c r="DK67" s="2905"/>
      <c r="DL67" s="2695"/>
      <c r="DM67" s="2695"/>
    </row>
    <row r="68" spans="2:117">
      <c r="B68" s="1916">
        <f t="shared" si="68"/>
        <v>1.2</v>
      </c>
      <c r="C68" s="1938" t="str">
        <f t="shared" si="1"/>
        <v>心理性・快適性</v>
      </c>
      <c r="D68" s="1935" t="e">
        <f>IF(I$63=0,0,G68/I$63)</f>
        <v>#DIV/0!</v>
      </c>
      <c r="E68" s="1936" t="e">
        <f>IF(J$63=0,0,H68/J$63)</f>
        <v>#DIV/0!</v>
      </c>
      <c r="G68" s="1936" t="e">
        <f t="shared" si="64"/>
        <v>#DIV/0!</v>
      </c>
      <c r="H68" s="1936" t="e">
        <f t="shared" si="65"/>
        <v>#DIV/0!</v>
      </c>
      <c r="I68" s="1936" t="e">
        <f>SUM(G69:G73)</f>
        <v>#DIV/0!</v>
      </c>
      <c r="J68" s="1936" t="e">
        <f>SUM(H69:H73)</f>
        <v>#DIV/0!</v>
      </c>
      <c r="K68" s="1936" t="e">
        <f>IF(スコア!O68=0,0,1)</f>
        <v>#DIV/0!</v>
      </c>
      <c r="L68" s="1936" t="e">
        <f>IF(スコア!R68=0,0,1)</f>
        <v>#DIV/0!</v>
      </c>
      <c r="M68" s="1936" t="e">
        <f t="shared" si="66"/>
        <v>#DIV/0!</v>
      </c>
      <c r="N68" s="1936" t="e">
        <f t="shared" si="67"/>
        <v>#DIV/0!</v>
      </c>
      <c r="P68" s="1937">
        <f t="shared" si="6"/>
        <v>1.2</v>
      </c>
      <c r="Q68" s="1937" t="str">
        <f t="shared" si="7"/>
        <v xml:space="preserve"> Q2 1</v>
      </c>
      <c r="R68" s="1938" t="str">
        <f t="shared" si="8"/>
        <v>心理性・快適性</v>
      </c>
      <c r="S68" s="2799">
        <f t="shared" si="74"/>
        <v>0.3</v>
      </c>
      <c r="T68" s="2799">
        <f t="shared" si="75"/>
        <v>0.3</v>
      </c>
      <c r="U68" s="2799">
        <f t="shared" si="76"/>
        <v>0.3</v>
      </c>
      <c r="V68" s="2799">
        <f t="shared" si="77"/>
        <v>0.3</v>
      </c>
      <c r="W68" s="2799">
        <f t="shared" si="78"/>
        <v>0.3</v>
      </c>
      <c r="X68" s="2799">
        <f t="shared" si="79"/>
        <v>0.3</v>
      </c>
      <c r="Y68" s="2799">
        <f t="shared" si="80"/>
        <v>0.3</v>
      </c>
      <c r="Z68" s="2803">
        <f t="shared" si="81"/>
        <v>0.3</v>
      </c>
      <c r="AA68" s="2799">
        <f t="shared" si="82"/>
        <v>0.3</v>
      </c>
      <c r="AB68" s="2799">
        <f t="shared" si="83"/>
        <v>0.3</v>
      </c>
      <c r="AC68" s="2800">
        <f t="shared" si="84"/>
        <v>0.4</v>
      </c>
      <c r="AD68" s="2799">
        <f t="shared" si="85"/>
        <v>0.4</v>
      </c>
      <c r="AE68" s="2799">
        <f t="shared" si="86"/>
        <v>0.4</v>
      </c>
      <c r="AG68" s="1937">
        <v>1.2</v>
      </c>
      <c r="AH68" s="1941" t="s">
        <v>2556</v>
      </c>
      <c r="AI68" s="1942" t="s">
        <v>2639</v>
      </c>
      <c r="AJ68" s="1939">
        <v>0.3</v>
      </c>
      <c r="AK68" s="1939">
        <v>0.3</v>
      </c>
      <c r="AL68" s="1939">
        <v>0.3</v>
      </c>
      <c r="AM68" s="1943">
        <v>0.3</v>
      </c>
      <c r="AN68" s="1943">
        <v>0.3</v>
      </c>
      <c r="AO68" s="1939">
        <v>0.3</v>
      </c>
      <c r="AP68" s="1943">
        <v>0.3</v>
      </c>
      <c r="AQ68" s="1939">
        <v>0.3</v>
      </c>
      <c r="AR68" s="1943">
        <v>0.3</v>
      </c>
      <c r="AS68" s="1944">
        <v>0.3</v>
      </c>
      <c r="AT68" s="1944">
        <v>0.4</v>
      </c>
      <c r="AU68" s="1944">
        <v>0.4</v>
      </c>
      <c r="AV68" s="1944">
        <v>0.4</v>
      </c>
      <c r="AX68" s="1937">
        <v>1.2</v>
      </c>
      <c r="AY68" s="1941" t="s">
        <v>2556</v>
      </c>
      <c r="AZ68" s="1942" t="s">
        <v>2639</v>
      </c>
      <c r="BA68" s="1944">
        <v>0.3</v>
      </c>
      <c r="BB68" s="1944">
        <v>0.3</v>
      </c>
      <c r="BC68" s="1944">
        <v>0.3</v>
      </c>
      <c r="BD68" s="1944">
        <v>0.3</v>
      </c>
      <c r="BE68" s="1944">
        <v>0.3</v>
      </c>
      <c r="BF68" s="1944">
        <v>0.3</v>
      </c>
      <c r="BG68" s="1944">
        <v>0.3</v>
      </c>
      <c r="BH68" s="1951">
        <v>0.3</v>
      </c>
      <c r="BI68" s="1944">
        <v>0.3</v>
      </c>
      <c r="BJ68" s="1944">
        <v>0.3</v>
      </c>
      <c r="BK68" s="1944">
        <v>0.4</v>
      </c>
      <c r="BL68" s="1944">
        <v>0.4</v>
      </c>
      <c r="BM68" s="1944">
        <v>0.4</v>
      </c>
      <c r="BO68" s="1937">
        <v>1.2</v>
      </c>
      <c r="BP68" s="1941" t="s">
        <v>2556</v>
      </c>
      <c r="BQ68" s="1942" t="s">
        <v>2639</v>
      </c>
      <c r="BR68" s="1944">
        <v>0.3</v>
      </c>
      <c r="BS68" s="1944">
        <v>0.3</v>
      </c>
      <c r="BT68" s="1944">
        <v>0.3</v>
      </c>
      <c r="BU68" s="1944">
        <v>0.3</v>
      </c>
      <c r="BV68" s="1944">
        <v>0.3</v>
      </c>
      <c r="BW68" s="1944">
        <v>0.3</v>
      </c>
      <c r="BX68" s="1944">
        <v>0.3</v>
      </c>
      <c r="BY68" s="1951">
        <v>0.3</v>
      </c>
      <c r="BZ68" s="1944">
        <v>0.3</v>
      </c>
      <c r="CA68" s="1944">
        <v>0.3</v>
      </c>
      <c r="CB68" s="1944">
        <v>0.4</v>
      </c>
      <c r="CC68" s="1944">
        <v>0.4</v>
      </c>
      <c r="CD68" s="1944">
        <v>0.4</v>
      </c>
      <c r="CE68" s="2272"/>
      <c r="CG68" s="1937">
        <v>1.2</v>
      </c>
      <c r="CH68" s="1941" t="s">
        <v>2556</v>
      </c>
      <c r="CI68" s="1942" t="s">
        <v>2639</v>
      </c>
      <c r="CJ68" s="2706">
        <f t="shared" si="19"/>
        <v>0.3</v>
      </c>
      <c r="CK68" s="2706">
        <f t="shared" si="20"/>
        <v>0.3</v>
      </c>
      <c r="CL68" s="2706">
        <f t="shared" si="21"/>
        <v>0.3</v>
      </c>
      <c r="CM68" s="2706">
        <f t="shared" si="22"/>
        <v>0.3</v>
      </c>
      <c r="CN68" s="2706">
        <f t="shared" si="23"/>
        <v>0.3</v>
      </c>
      <c r="CO68" s="2706">
        <f t="shared" si="24"/>
        <v>0.3</v>
      </c>
      <c r="CP68" s="2706">
        <f t="shared" si="25"/>
        <v>0.3</v>
      </c>
      <c r="CQ68" s="2718">
        <f t="shared" si="26"/>
        <v>0.3</v>
      </c>
      <c r="CR68" s="2706">
        <f t="shared" si="27"/>
        <v>0.3</v>
      </c>
      <c r="CS68" s="2706">
        <f t="shared" si="28"/>
        <v>0.3</v>
      </c>
      <c r="CT68" s="2706">
        <f t="shared" si="13"/>
        <v>0.4</v>
      </c>
      <c r="CU68" s="2706">
        <f t="shared" si="14"/>
        <v>0.4</v>
      </c>
      <c r="CV68" s="2706">
        <f t="shared" si="15"/>
        <v>0.4</v>
      </c>
      <c r="CX68" s="1937">
        <v>1.2</v>
      </c>
      <c r="CY68" s="1941" t="s">
        <v>2556</v>
      </c>
      <c r="CZ68" s="1942" t="s">
        <v>2639</v>
      </c>
      <c r="DA68" s="2931">
        <v>0.45</v>
      </c>
      <c r="DB68" s="2695"/>
      <c r="DC68" s="2695"/>
      <c r="DD68" s="2695"/>
      <c r="DE68" s="2695"/>
      <c r="DF68" s="2695"/>
      <c r="DG68" s="2695"/>
      <c r="DH68" s="2778"/>
      <c r="DI68" s="2695"/>
      <c r="DJ68" s="2695"/>
      <c r="DK68" s="2695"/>
      <c r="DL68" s="2695"/>
      <c r="DM68" s="2695"/>
    </row>
    <row r="69" spans="2:117">
      <c r="B69" s="1916" t="str">
        <f t="shared" si="68"/>
        <v>1.2.1</v>
      </c>
      <c r="C69" s="1938" t="str">
        <f t="shared" si="1"/>
        <v>広さ感・景観</v>
      </c>
      <c r="D69" s="1926" t="e">
        <f>IF(I$68&gt;0,G69/I$68,0)</f>
        <v>#DIV/0!</v>
      </c>
      <c r="E69" s="1926" t="e">
        <f>IF(J$68&gt;0,H69/J$68,0)</f>
        <v>#DIV/0!</v>
      </c>
      <c r="G69" s="1936" t="e">
        <f t="shared" si="64"/>
        <v>#DIV/0!</v>
      </c>
      <c r="H69" s="1936" t="e">
        <f t="shared" si="65"/>
        <v>#DIV/0!</v>
      </c>
      <c r="I69" s="1936"/>
      <c r="J69" s="1936"/>
      <c r="K69" s="1936">
        <f>IF(スコア!O69=0,0,1)</f>
        <v>1</v>
      </c>
      <c r="L69" s="1936">
        <f>IF(スコア!R69=0,0,1)</f>
        <v>1</v>
      </c>
      <c r="M69" s="1936" t="e">
        <f t="shared" si="66"/>
        <v>#DIV/0!</v>
      </c>
      <c r="N69" s="1936" t="e">
        <f t="shared" si="67"/>
        <v>#DIV/0!</v>
      </c>
      <c r="P69" s="1937" t="str">
        <f t="shared" si="6"/>
        <v>1.2.1</v>
      </c>
      <c r="Q69" s="1937" t="str">
        <f t="shared" si="7"/>
        <v xml:space="preserve"> Q2 1.2</v>
      </c>
      <c r="R69" s="1938" t="str">
        <f t="shared" si="8"/>
        <v>広さ感・景観</v>
      </c>
      <c r="S69" s="2799">
        <f t="shared" si="74"/>
        <v>0.33333333333333331</v>
      </c>
      <c r="T69" s="2799">
        <f t="shared" si="75"/>
        <v>0.5</v>
      </c>
      <c r="U69" s="2799">
        <f t="shared" si="76"/>
        <v>0.33333333333333331</v>
      </c>
      <c r="V69" s="2799">
        <f t="shared" si="77"/>
        <v>0.5</v>
      </c>
      <c r="W69" s="2799">
        <f t="shared" si="78"/>
        <v>0</v>
      </c>
      <c r="X69" s="2799">
        <f t="shared" si="79"/>
        <v>0</v>
      </c>
      <c r="Y69" s="2799">
        <f t="shared" si="80"/>
        <v>0</v>
      </c>
      <c r="Z69" s="2803">
        <f t="shared" si="81"/>
        <v>0</v>
      </c>
      <c r="AA69" s="2799">
        <f t="shared" si="82"/>
        <v>0.33333333333333331</v>
      </c>
      <c r="AB69" s="2799">
        <f t="shared" si="83"/>
        <v>0.5</v>
      </c>
      <c r="AC69" s="2800">
        <f t="shared" si="84"/>
        <v>0.5</v>
      </c>
      <c r="AD69" s="2800">
        <f t="shared" si="85"/>
        <v>0.5</v>
      </c>
      <c r="AE69" s="2800">
        <f t="shared" si="86"/>
        <v>0.5</v>
      </c>
      <c r="AG69" s="1937" t="s">
        <v>2726</v>
      </c>
      <c r="AH69" s="1941" t="s">
        <v>2561</v>
      </c>
      <c r="AI69" s="1942" t="s">
        <v>2562</v>
      </c>
      <c r="AJ69" s="1977">
        <v>0.33333333333333331</v>
      </c>
      <c r="AK69" s="1939"/>
      <c r="AL69" s="1939"/>
      <c r="AM69" s="1939"/>
      <c r="AN69" s="1939"/>
      <c r="AO69" s="1939"/>
      <c r="AP69" s="1939"/>
      <c r="AQ69" s="1955"/>
      <c r="AR69" s="1939"/>
      <c r="AS69" s="1944"/>
      <c r="AT69" s="1945"/>
      <c r="AU69" s="1945"/>
      <c r="AV69" s="1945"/>
      <c r="AX69" s="1937" t="s">
        <v>2726</v>
      </c>
      <c r="AY69" s="1941" t="s">
        <v>2561</v>
      </c>
      <c r="AZ69" s="1942" t="s">
        <v>2562</v>
      </c>
      <c r="BA69" s="1944">
        <v>0.33333333333333331</v>
      </c>
      <c r="BB69" s="1944">
        <v>0.5</v>
      </c>
      <c r="BC69" s="1944">
        <v>0.33333333333333331</v>
      </c>
      <c r="BD69" s="1944">
        <v>0.5</v>
      </c>
      <c r="BE69" s="1944"/>
      <c r="BF69" s="1944"/>
      <c r="BG69" s="1944"/>
      <c r="BH69" s="1951"/>
      <c r="BI69" s="1944">
        <v>0.33333333333333331</v>
      </c>
      <c r="BJ69" s="1944">
        <v>0.5</v>
      </c>
      <c r="BK69" s="1945">
        <v>0.5</v>
      </c>
      <c r="BL69" s="1945">
        <v>0.5</v>
      </c>
      <c r="BM69" s="1945">
        <v>0.5</v>
      </c>
      <c r="BO69" s="1937" t="s">
        <v>2726</v>
      </c>
      <c r="BP69" s="1941" t="s">
        <v>2561</v>
      </c>
      <c r="BQ69" s="1942" t="s">
        <v>2562</v>
      </c>
      <c r="BR69" s="1944">
        <v>0.33333333333333331</v>
      </c>
      <c r="BS69" s="1944">
        <v>0.5</v>
      </c>
      <c r="BT69" s="1944">
        <v>0.33333333333333331</v>
      </c>
      <c r="BU69" s="1944">
        <v>0.5</v>
      </c>
      <c r="BV69" s="1944"/>
      <c r="BW69" s="1944"/>
      <c r="BX69" s="1944"/>
      <c r="BY69" s="1951"/>
      <c r="BZ69" s="1944">
        <v>0.33333333333333331</v>
      </c>
      <c r="CA69" s="1944">
        <v>0.5</v>
      </c>
      <c r="CB69" s="1945">
        <v>0.5</v>
      </c>
      <c r="CC69" s="1945">
        <v>0.5</v>
      </c>
      <c r="CD69" s="1945">
        <v>0.5</v>
      </c>
      <c r="CE69" s="2272"/>
      <c r="CG69" s="1937" t="s">
        <v>260</v>
      </c>
      <c r="CH69" s="1941" t="s">
        <v>2561</v>
      </c>
      <c r="CI69" s="1942" t="s">
        <v>2562</v>
      </c>
      <c r="CJ69" s="2706">
        <f t="shared" si="19"/>
        <v>0.33333333333333331</v>
      </c>
      <c r="CK69" s="2706">
        <f t="shared" si="20"/>
        <v>0.5</v>
      </c>
      <c r="CL69" s="2706">
        <f t="shared" si="21"/>
        <v>0.33333333333333331</v>
      </c>
      <c r="CM69" s="2706">
        <f t="shared" si="22"/>
        <v>0.5</v>
      </c>
      <c r="CN69" s="2706">
        <f t="shared" si="23"/>
        <v>0</v>
      </c>
      <c r="CO69" s="2706">
        <f t="shared" si="24"/>
        <v>0</v>
      </c>
      <c r="CP69" s="2706">
        <f t="shared" si="25"/>
        <v>0</v>
      </c>
      <c r="CQ69" s="2718">
        <f t="shared" si="26"/>
        <v>0</v>
      </c>
      <c r="CR69" s="2706">
        <f t="shared" si="27"/>
        <v>0.33333333333333331</v>
      </c>
      <c r="CS69" s="2706">
        <f t="shared" si="28"/>
        <v>0.5</v>
      </c>
      <c r="CT69" s="2708">
        <f t="shared" si="13"/>
        <v>0.5</v>
      </c>
      <c r="CU69" s="2708">
        <f t="shared" si="14"/>
        <v>0.5</v>
      </c>
      <c r="CV69" s="2708">
        <f t="shared" si="15"/>
        <v>0.5</v>
      </c>
      <c r="CX69" s="1937" t="s">
        <v>260</v>
      </c>
      <c r="CY69" s="1941" t="s">
        <v>2561</v>
      </c>
      <c r="CZ69" s="2929" t="s">
        <v>3478</v>
      </c>
      <c r="DA69" s="2931">
        <v>0.15</v>
      </c>
      <c r="DB69" s="2695"/>
      <c r="DC69" s="2695"/>
      <c r="DD69" s="2695"/>
      <c r="DE69" s="2695"/>
      <c r="DF69" s="2695"/>
      <c r="DG69" s="2695"/>
      <c r="DH69" s="2778"/>
      <c r="DI69" s="2695"/>
      <c r="DJ69" s="2695"/>
      <c r="DK69" s="2905"/>
      <c r="DL69" s="2905"/>
      <c r="DM69" s="2905"/>
    </row>
    <row r="70" spans="2:117" s="2687" customFormat="1" hidden="1">
      <c r="B70" s="1916"/>
      <c r="C70" s="1938">
        <f t="shared" si="1"/>
        <v>0</v>
      </c>
      <c r="D70" s="1926" t="e">
        <f>IF(I$68&gt;0,G70/I$68,0)</f>
        <v>#DIV/0!</v>
      </c>
      <c r="E70" s="1926" t="e">
        <f>IF(J$68&gt;0,H70/J$68,0)</f>
        <v>#DIV/0!</v>
      </c>
      <c r="G70" s="1936" t="e">
        <f>K70*M70</f>
        <v>#DIV/0!</v>
      </c>
      <c r="H70" s="1936" t="e">
        <f t="shared" si="65"/>
        <v>#DIV/0!</v>
      </c>
      <c r="I70" s="1936"/>
      <c r="J70" s="1936"/>
      <c r="K70" s="1936">
        <f>IF(スコア!O70=0,0,1)</f>
        <v>1</v>
      </c>
      <c r="L70" s="1936">
        <f>IF(スコア!R70=0,0,1)</f>
        <v>0</v>
      </c>
      <c r="M70" s="1936" t="e">
        <f t="shared" ref="M70:M73" si="88">SUMPRODUCT($S$7:$AB$7,S70:AB70)</f>
        <v>#DIV/0!</v>
      </c>
      <c r="N70" s="1936" t="e">
        <f t="shared" ref="N70:N73" si="89">(AC$7*AC70)+(AD$7*AD70)+(AE$7*AE70)</f>
        <v>#DIV/0!</v>
      </c>
      <c r="P70" s="1937">
        <f t="shared" si="6"/>
        <v>0</v>
      </c>
      <c r="Q70" s="1937">
        <f t="shared" si="7"/>
        <v>0</v>
      </c>
      <c r="R70" s="1938">
        <f t="shared" si="8"/>
        <v>0</v>
      </c>
      <c r="S70" s="2799">
        <f t="shared" si="74"/>
        <v>0</v>
      </c>
      <c r="T70" s="2799">
        <f t="shared" si="75"/>
        <v>0</v>
      </c>
      <c r="U70" s="2799">
        <f t="shared" si="76"/>
        <v>0</v>
      </c>
      <c r="V70" s="2799">
        <f t="shared" si="77"/>
        <v>0</v>
      </c>
      <c r="W70" s="2799">
        <f t="shared" si="78"/>
        <v>0</v>
      </c>
      <c r="X70" s="2799">
        <f t="shared" si="79"/>
        <v>0</v>
      </c>
      <c r="Y70" s="2799">
        <f t="shared" si="80"/>
        <v>0</v>
      </c>
      <c r="Z70" s="2803">
        <f t="shared" si="81"/>
        <v>0</v>
      </c>
      <c r="AA70" s="2799">
        <f t="shared" si="82"/>
        <v>0</v>
      </c>
      <c r="AB70" s="2799">
        <f t="shared" si="83"/>
        <v>0</v>
      </c>
      <c r="AC70" s="2800">
        <f t="shared" si="84"/>
        <v>0</v>
      </c>
      <c r="AD70" s="2800">
        <f t="shared" si="85"/>
        <v>0</v>
      </c>
      <c r="AE70" s="2800">
        <f t="shared" si="86"/>
        <v>0</v>
      </c>
      <c r="AG70" s="1937"/>
      <c r="AH70" s="1941"/>
      <c r="AI70" s="1942"/>
      <c r="AJ70" s="1977"/>
      <c r="AK70" s="1939"/>
      <c r="AL70" s="1939"/>
      <c r="AM70" s="1939"/>
      <c r="AN70" s="1939"/>
      <c r="AO70" s="1939"/>
      <c r="AP70" s="1939"/>
      <c r="AQ70" s="1955"/>
      <c r="AR70" s="1939"/>
      <c r="AS70" s="1944"/>
      <c r="AT70" s="1945"/>
      <c r="AU70" s="1945"/>
      <c r="AV70" s="1945"/>
      <c r="AX70" s="1937"/>
      <c r="AY70" s="1941"/>
      <c r="AZ70" s="1942"/>
      <c r="BA70" s="1944"/>
      <c r="BB70" s="1944"/>
      <c r="BC70" s="1944"/>
      <c r="BD70" s="1944"/>
      <c r="BE70" s="1944"/>
      <c r="BF70" s="1944"/>
      <c r="BG70" s="1944"/>
      <c r="BH70" s="1951"/>
      <c r="BI70" s="1944"/>
      <c r="BJ70" s="1944"/>
      <c r="BK70" s="1945"/>
      <c r="BL70" s="1945"/>
      <c r="BM70" s="1945"/>
      <c r="BO70" s="1937"/>
      <c r="BP70" s="1941"/>
      <c r="BQ70" s="1942"/>
      <c r="BR70" s="1944"/>
      <c r="BS70" s="1944"/>
      <c r="BT70" s="1944"/>
      <c r="BU70" s="1944"/>
      <c r="BV70" s="1944"/>
      <c r="BW70" s="1944"/>
      <c r="BX70" s="1944"/>
      <c r="BY70" s="1951"/>
      <c r="BZ70" s="1944"/>
      <c r="CA70" s="1944"/>
      <c r="CB70" s="1945"/>
      <c r="CC70" s="1945"/>
      <c r="CD70" s="1945"/>
      <c r="CE70" s="2272"/>
      <c r="CG70" s="1937"/>
      <c r="CH70" s="1941"/>
      <c r="CI70" s="1942"/>
      <c r="CJ70" s="2706"/>
      <c r="CK70" s="2706"/>
      <c r="CL70" s="2706"/>
      <c r="CM70" s="2706"/>
      <c r="CN70" s="2706"/>
      <c r="CO70" s="2706"/>
      <c r="CP70" s="2706"/>
      <c r="CQ70" s="2718"/>
      <c r="CR70" s="2706"/>
      <c r="CS70" s="2706"/>
      <c r="CT70" s="2708"/>
      <c r="CU70" s="2708"/>
      <c r="CV70" s="2708"/>
      <c r="CX70" s="1937" t="s">
        <v>3480</v>
      </c>
      <c r="CY70" s="1941" t="s">
        <v>2561</v>
      </c>
      <c r="CZ70" s="2929" t="s">
        <v>3479</v>
      </c>
      <c r="DA70" s="2931">
        <v>0.15</v>
      </c>
      <c r="DB70" s="2695"/>
      <c r="DC70" s="2695"/>
      <c r="DD70" s="2695"/>
      <c r="DE70" s="2695"/>
      <c r="DF70" s="2695"/>
      <c r="DG70" s="2695"/>
      <c r="DH70" s="2778"/>
      <c r="DI70" s="2695"/>
      <c r="DJ70" s="2695"/>
      <c r="DK70" s="2905"/>
      <c r="DL70" s="2905"/>
      <c r="DM70" s="2905"/>
    </row>
    <row r="71" spans="2:117">
      <c r="B71" s="1916" t="str">
        <f t="shared" si="68"/>
        <v>1.2.2</v>
      </c>
      <c r="C71" s="1938" t="str">
        <f t="shared" si="1"/>
        <v>リフレッシュスペース</v>
      </c>
      <c r="D71" s="1926" t="e">
        <f t="shared" ref="D71:E73" si="90">IF(I$68&gt;0,G71/I$68,0)</f>
        <v>#DIV/0!</v>
      </c>
      <c r="E71" s="1926" t="e">
        <f t="shared" si="90"/>
        <v>#DIV/0!</v>
      </c>
      <c r="G71" s="1936" t="e">
        <f t="shared" si="64"/>
        <v>#DIV/0!</v>
      </c>
      <c r="H71" s="1936" t="e">
        <f>L71*N71</f>
        <v>#DIV/0!</v>
      </c>
      <c r="I71" s="1936"/>
      <c r="J71" s="1936"/>
      <c r="K71" s="1936">
        <f>IF(スコア!O71=0,0,1)</f>
        <v>1</v>
      </c>
      <c r="L71" s="1936">
        <f>IF(スコア!R71=0,0,1)</f>
        <v>0</v>
      </c>
      <c r="M71" s="1936" t="e">
        <f t="shared" si="88"/>
        <v>#DIV/0!</v>
      </c>
      <c r="N71" s="1936" t="e">
        <f t="shared" si="89"/>
        <v>#DIV/0!</v>
      </c>
      <c r="P71" s="1937" t="str">
        <f t="shared" si="6"/>
        <v>1.2.2</v>
      </c>
      <c r="Q71" s="1937" t="str">
        <f t="shared" si="7"/>
        <v xml:space="preserve"> Q2 1.2</v>
      </c>
      <c r="R71" s="1938" t="str">
        <f t="shared" si="8"/>
        <v>リフレッシュスペース</v>
      </c>
      <c r="S71" s="2799">
        <f t="shared" si="74"/>
        <v>0.33333333333333331</v>
      </c>
      <c r="T71" s="2799">
        <f t="shared" si="75"/>
        <v>0</v>
      </c>
      <c r="U71" s="2799">
        <f t="shared" si="76"/>
        <v>0.33333333333333331</v>
      </c>
      <c r="V71" s="2799">
        <f t="shared" si="77"/>
        <v>0</v>
      </c>
      <c r="W71" s="2799">
        <f t="shared" si="78"/>
        <v>0</v>
      </c>
      <c r="X71" s="2799">
        <f t="shared" si="79"/>
        <v>0</v>
      </c>
      <c r="Y71" s="2799">
        <f t="shared" si="80"/>
        <v>0</v>
      </c>
      <c r="Z71" s="2803">
        <f t="shared" si="81"/>
        <v>0</v>
      </c>
      <c r="AA71" s="2799">
        <f t="shared" si="82"/>
        <v>0.33333333333333331</v>
      </c>
      <c r="AB71" s="2799">
        <f t="shared" si="83"/>
        <v>0</v>
      </c>
      <c r="AC71" s="2800">
        <f t="shared" si="84"/>
        <v>0</v>
      </c>
      <c r="AD71" s="2800">
        <f t="shared" si="85"/>
        <v>0</v>
      </c>
      <c r="AE71" s="2800">
        <f t="shared" si="86"/>
        <v>0</v>
      </c>
      <c r="AG71" s="1937" t="s">
        <v>2727</v>
      </c>
      <c r="AH71" s="1941" t="s">
        <v>2561</v>
      </c>
      <c r="AI71" s="1942" t="s">
        <v>2563</v>
      </c>
      <c r="AJ71" s="1977">
        <v>0.33333333333333331</v>
      </c>
      <c r="AK71" s="1939"/>
      <c r="AL71" s="1939">
        <v>0.5</v>
      </c>
      <c r="AM71" s="1939"/>
      <c r="AN71" s="1939"/>
      <c r="AO71" s="1939"/>
      <c r="AP71" s="1939"/>
      <c r="AQ71" s="1955"/>
      <c r="AR71" s="1939"/>
      <c r="AS71" s="1944"/>
      <c r="AT71" s="1945"/>
      <c r="AU71" s="1945"/>
      <c r="AV71" s="1945"/>
      <c r="AX71" s="1937" t="s">
        <v>2727</v>
      </c>
      <c r="AY71" s="1941" t="s">
        <v>2561</v>
      </c>
      <c r="AZ71" s="1942" t="s">
        <v>2563</v>
      </c>
      <c r="BA71" s="1944">
        <v>0.33333333333333331</v>
      </c>
      <c r="BB71" s="1944">
        <v>0</v>
      </c>
      <c r="BC71" s="1944">
        <v>0.33333333333333331</v>
      </c>
      <c r="BD71" s="1944"/>
      <c r="BE71" s="1944"/>
      <c r="BF71" s="1944"/>
      <c r="BG71" s="1944"/>
      <c r="BH71" s="1951"/>
      <c r="BI71" s="1944">
        <v>0.33333333333333331</v>
      </c>
      <c r="BJ71" s="1944">
        <v>0</v>
      </c>
      <c r="BK71" s="1945"/>
      <c r="BL71" s="1945"/>
      <c r="BM71" s="1945"/>
      <c r="BO71" s="1937" t="s">
        <v>2727</v>
      </c>
      <c r="BP71" s="1941" t="s">
        <v>2561</v>
      </c>
      <c r="BQ71" s="1942" t="s">
        <v>2563</v>
      </c>
      <c r="BR71" s="1944">
        <v>0.33333333333333331</v>
      </c>
      <c r="BS71" s="1944"/>
      <c r="BT71" s="1944">
        <v>0.33333333333333331</v>
      </c>
      <c r="BU71" s="1944"/>
      <c r="BV71" s="1944"/>
      <c r="BW71" s="1944"/>
      <c r="BX71" s="1944"/>
      <c r="BY71" s="1951"/>
      <c r="BZ71" s="1944">
        <v>0.33333333333333331</v>
      </c>
      <c r="CA71" s="1944"/>
      <c r="CB71" s="1945"/>
      <c r="CC71" s="1945"/>
      <c r="CD71" s="1945"/>
      <c r="CE71" s="2272"/>
      <c r="CG71" s="1937" t="s">
        <v>262</v>
      </c>
      <c r="CH71" s="1941" t="s">
        <v>2561</v>
      </c>
      <c r="CI71" s="1942" t="s">
        <v>2563</v>
      </c>
      <c r="CJ71" s="2706">
        <f t="shared" si="19"/>
        <v>0.33333333333333331</v>
      </c>
      <c r="CK71" s="2706">
        <f t="shared" si="20"/>
        <v>0</v>
      </c>
      <c r="CL71" s="2706">
        <f t="shared" si="21"/>
        <v>0.33333333333333331</v>
      </c>
      <c r="CM71" s="2706">
        <f t="shared" si="22"/>
        <v>0</v>
      </c>
      <c r="CN71" s="2706">
        <f t="shared" si="23"/>
        <v>0</v>
      </c>
      <c r="CO71" s="2706">
        <f t="shared" si="24"/>
        <v>0</v>
      </c>
      <c r="CP71" s="2706">
        <f t="shared" si="25"/>
        <v>0</v>
      </c>
      <c r="CQ71" s="2718">
        <f t="shared" si="26"/>
        <v>0</v>
      </c>
      <c r="CR71" s="2706">
        <f t="shared" si="27"/>
        <v>0.33333333333333331</v>
      </c>
      <c r="CS71" s="2706">
        <f t="shared" si="28"/>
        <v>0</v>
      </c>
      <c r="CT71" s="2708">
        <f t="shared" si="13"/>
        <v>0</v>
      </c>
      <c r="CU71" s="2708">
        <f t="shared" si="14"/>
        <v>0</v>
      </c>
      <c r="CV71" s="2708">
        <f t="shared" si="15"/>
        <v>0</v>
      </c>
      <c r="CX71" s="1937" t="s">
        <v>3481</v>
      </c>
      <c r="CY71" s="1941" t="s">
        <v>2561</v>
      </c>
      <c r="CZ71" s="1942" t="s">
        <v>2563</v>
      </c>
      <c r="DA71" s="2931">
        <v>0.25</v>
      </c>
      <c r="DB71" s="2695"/>
      <c r="DC71" s="2695"/>
      <c r="DD71" s="2695"/>
      <c r="DE71" s="2695"/>
      <c r="DF71" s="2695"/>
      <c r="DG71" s="2695"/>
      <c r="DH71" s="2778"/>
      <c r="DI71" s="2695"/>
      <c r="DJ71" s="2695"/>
      <c r="DK71" s="2905"/>
      <c r="DL71" s="2905"/>
      <c r="DM71" s="2905"/>
    </row>
    <row r="72" spans="2:117">
      <c r="B72" s="1916" t="str">
        <f t="shared" si="68"/>
        <v>1.2.3</v>
      </c>
      <c r="C72" s="1938" t="str">
        <f t="shared" si="1"/>
        <v>内装計画</v>
      </c>
      <c r="D72" s="1926" t="e">
        <f t="shared" si="90"/>
        <v>#DIV/0!</v>
      </c>
      <c r="E72" s="1926" t="e">
        <f t="shared" si="90"/>
        <v>#DIV/0!</v>
      </c>
      <c r="G72" s="1936" t="e">
        <f t="shared" ref="G72:G73" si="91">K72*M72</f>
        <v>#DIV/0!</v>
      </c>
      <c r="H72" s="1936" t="e">
        <f t="shared" ref="H72:H73" si="92">L72*N72</f>
        <v>#DIV/0!</v>
      </c>
      <c r="I72" s="1936"/>
      <c r="J72" s="1936"/>
      <c r="K72" s="1936" t="e">
        <f>IF(スコア!O72=0,0,1)</f>
        <v>#DIV/0!</v>
      </c>
      <c r="L72" s="1936" t="e">
        <f>IF(スコア!R72=0,0,1)</f>
        <v>#DIV/0!</v>
      </c>
      <c r="M72" s="1936" t="e">
        <f t="shared" si="88"/>
        <v>#DIV/0!</v>
      </c>
      <c r="N72" s="1936" t="e">
        <f t="shared" si="89"/>
        <v>#DIV/0!</v>
      </c>
      <c r="P72" s="1937" t="str">
        <f t="shared" si="6"/>
        <v>1.2.3</v>
      </c>
      <c r="Q72" s="1937" t="str">
        <f t="shared" si="7"/>
        <v xml:space="preserve"> Q2 1.2</v>
      </c>
      <c r="R72" s="1938" t="str">
        <f t="shared" si="8"/>
        <v>内装計画</v>
      </c>
      <c r="S72" s="2799">
        <f t="shared" si="74"/>
        <v>0.33333333333333331</v>
      </c>
      <c r="T72" s="2799">
        <f t="shared" si="75"/>
        <v>0.5</v>
      </c>
      <c r="U72" s="2799">
        <f t="shared" si="76"/>
        <v>0.33333333333333331</v>
      </c>
      <c r="V72" s="2799">
        <f t="shared" si="77"/>
        <v>0.5</v>
      </c>
      <c r="W72" s="2799">
        <f t="shared" si="78"/>
        <v>1</v>
      </c>
      <c r="X72" s="2799">
        <f t="shared" si="79"/>
        <v>1</v>
      </c>
      <c r="Y72" s="2799">
        <f t="shared" si="80"/>
        <v>1</v>
      </c>
      <c r="Z72" s="2803">
        <f t="shared" si="81"/>
        <v>1</v>
      </c>
      <c r="AA72" s="2799">
        <f t="shared" si="82"/>
        <v>0.33333333333333331</v>
      </c>
      <c r="AB72" s="2799">
        <f t="shared" si="83"/>
        <v>0.5</v>
      </c>
      <c r="AC72" s="2800">
        <f t="shared" si="84"/>
        <v>0.5</v>
      </c>
      <c r="AD72" s="2800">
        <f t="shared" si="85"/>
        <v>0.5</v>
      </c>
      <c r="AE72" s="2800">
        <f t="shared" si="86"/>
        <v>0.5</v>
      </c>
      <c r="AG72" s="1937" t="s">
        <v>2728</v>
      </c>
      <c r="AH72" s="1941" t="s">
        <v>2561</v>
      </c>
      <c r="AI72" s="1942" t="s">
        <v>2564</v>
      </c>
      <c r="AJ72" s="1977">
        <v>0.33333333333333331</v>
      </c>
      <c r="AK72" s="1939">
        <v>1</v>
      </c>
      <c r="AL72" s="1939">
        <v>0.5</v>
      </c>
      <c r="AM72" s="1939">
        <v>1</v>
      </c>
      <c r="AN72" s="1939">
        <v>1</v>
      </c>
      <c r="AO72" s="1939">
        <v>1</v>
      </c>
      <c r="AP72" s="1939">
        <v>1</v>
      </c>
      <c r="AQ72" s="1955">
        <v>1</v>
      </c>
      <c r="AR72" s="1939">
        <v>1</v>
      </c>
      <c r="AS72" s="1944">
        <v>1</v>
      </c>
      <c r="AT72" s="1945">
        <v>1</v>
      </c>
      <c r="AU72" s="1945">
        <v>1</v>
      </c>
      <c r="AV72" s="1945">
        <v>1</v>
      </c>
      <c r="AX72" s="1937" t="s">
        <v>2728</v>
      </c>
      <c r="AY72" s="1941" t="s">
        <v>2561</v>
      </c>
      <c r="AZ72" s="1942" t="s">
        <v>2564</v>
      </c>
      <c r="BA72" s="1944">
        <v>0.33333333333333331</v>
      </c>
      <c r="BB72" s="1944">
        <v>0.5</v>
      </c>
      <c r="BC72" s="1944">
        <v>0.33333333333333331</v>
      </c>
      <c r="BD72" s="1944">
        <v>0.5</v>
      </c>
      <c r="BE72" s="1944">
        <v>1</v>
      </c>
      <c r="BF72" s="1944">
        <v>1</v>
      </c>
      <c r="BG72" s="1944">
        <v>1</v>
      </c>
      <c r="BH72" s="1951">
        <v>1</v>
      </c>
      <c r="BI72" s="1944">
        <v>0.33333333333333331</v>
      </c>
      <c r="BJ72" s="1944">
        <v>0.5</v>
      </c>
      <c r="BK72" s="1945">
        <v>0.5</v>
      </c>
      <c r="BL72" s="1945">
        <v>0.5</v>
      </c>
      <c r="BM72" s="1945">
        <v>0.5</v>
      </c>
      <c r="BO72" s="1937" t="s">
        <v>2728</v>
      </c>
      <c r="BP72" s="1941" t="s">
        <v>2561</v>
      </c>
      <c r="BQ72" s="1942" t="s">
        <v>2564</v>
      </c>
      <c r="BR72" s="1944">
        <v>0.33333333333333331</v>
      </c>
      <c r="BS72" s="1944">
        <v>0.5</v>
      </c>
      <c r="BT72" s="1944">
        <v>0.33333333333333331</v>
      </c>
      <c r="BU72" s="1944">
        <v>0.5</v>
      </c>
      <c r="BV72" s="1944">
        <v>1</v>
      </c>
      <c r="BW72" s="1944">
        <v>1</v>
      </c>
      <c r="BX72" s="1944">
        <v>1</v>
      </c>
      <c r="BY72" s="1951">
        <v>1</v>
      </c>
      <c r="BZ72" s="1944">
        <v>0.33333333333333331</v>
      </c>
      <c r="CA72" s="1944">
        <v>0.5</v>
      </c>
      <c r="CB72" s="1945">
        <v>0.5</v>
      </c>
      <c r="CC72" s="1945">
        <v>0.5</v>
      </c>
      <c r="CD72" s="1945">
        <v>0.5</v>
      </c>
      <c r="CE72" s="2272"/>
      <c r="CG72" s="1937" t="s">
        <v>263</v>
      </c>
      <c r="CH72" s="1941" t="s">
        <v>2561</v>
      </c>
      <c r="CI72" s="1942" t="s">
        <v>2564</v>
      </c>
      <c r="CJ72" s="2706">
        <f t="shared" si="19"/>
        <v>0.33333333333333331</v>
      </c>
      <c r="CK72" s="2706">
        <f t="shared" si="20"/>
        <v>0.5</v>
      </c>
      <c r="CL72" s="2706">
        <f t="shared" si="21"/>
        <v>0.33333333333333331</v>
      </c>
      <c r="CM72" s="2706">
        <f t="shared" si="22"/>
        <v>0.5</v>
      </c>
      <c r="CN72" s="2706">
        <f t="shared" si="23"/>
        <v>1</v>
      </c>
      <c r="CO72" s="2706">
        <f t="shared" si="24"/>
        <v>1</v>
      </c>
      <c r="CP72" s="2706">
        <f t="shared" si="25"/>
        <v>1</v>
      </c>
      <c r="CQ72" s="2718">
        <f t="shared" si="26"/>
        <v>1</v>
      </c>
      <c r="CR72" s="2706">
        <f t="shared" si="27"/>
        <v>0.33333333333333331</v>
      </c>
      <c r="CS72" s="2706">
        <f t="shared" si="28"/>
        <v>0.5</v>
      </c>
      <c r="CT72" s="2708">
        <f t="shared" si="13"/>
        <v>0.5</v>
      </c>
      <c r="CU72" s="2708">
        <f t="shared" si="14"/>
        <v>0.5</v>
      </c>
      <c r="CV72" s="2708">
        <f t="shared" si="15"/>
        <v>0.5</v>
      </c>
      <c r="CX72" s="1937" t="s">
        <v>3482</v>
      </c>
      <c r="CY72" s="1941" t="s">
        <v>2561</v>
      </c>
      <c r="CZ72" s="1942" t="s">
        <v>2564</v>
      </c>
      <c r="DA72" s="2931">
        <v>0.25</v>
      </c>
      <c r="DB72" s="2695"/>
      <c r="DC72" s="2695"/>
      <c r="DD72" s="2695"/>
      <c r="DE72" s="2695"/>
      <c r="DF72" s="2695"/>
      <c r="DG72" s="2695"/>
      <c r="DH72" s="2778"/>
      <c r="DI72" s="2695"/>
      <c r="DJ72" s="2695"/>
      <c r="DK72" s="2905"/>
      <c r="DL72" s="2905"/>
      <c r="DM72" s="2905"/>
    </row>
    <row r="73" spans="2:117" s="2687" customFormat="1" hidden="1">
      <c r="B73" s="1916"/>
      <c r="C73" s="1938">
        <f t="shared" ref="C73:C136" si="93">R73</f>
        <v>0</v>
      </c>
      <c r="D73" s="1926" t="e">
        <f t="shared" si="90"/>
        <v>#DIV/0!</v>
      </c>
      <c r="E73" s="1926" t="e">
        <f>IF(J$68&gt;0,H73/J$68,0)</f>
        <v>#DIV/0!</v>
      </c>
      <c r="G73" s="1936" t="e">
        <f t="shared" si="91"/>
        <v>#DIV/0!</v>
      </c>
      <c r="H73" s="1936" t="e">
        <f t="shared" si="92"/>
        <v>#DIV/0!</v>
      </c>
      <c r="I73" s="1936"/>
      <c r="J73" s="1936"/>
      <c r="K73" s="1936">
        <f>IF(スコア!O73=0,0,1)</f>
        <v>1</v>
      </c>
      <c r="L73" s="1936">
        <f>IF(スコア!R73=0,0,1)</f>
        <v>0</v>
      </c>
      <c r="M73" s="1936" t="e">
        <f t="shared" si="88"/>
        <v>#DIV/0!</v>
      </c>
      <c r="N73" s="1936" t="e">
        <f t="shared" si="89"/>
        <v>#DIV/0!</v>
      </c>
      <c r="P73" s="1937">
        <f t="shared" si="6"/>
        <v>0</v>
      </c>
      <c r="Q73" s="1937">
        <f t="shared" si="7"/>
        <v>0</v>
      </c>
      <c r="R73" s="1938">
        <f t="shared" si="8"/>
        <v>0</v>
      </c>
      <c r="S73" s="2799">
        <f t="shared" si="74"/>
        <v>0</v>
      </c>
      <c r="T73" s="2799">
        <f t="shared" si="75"/>
        <v>0</v>
      </c>
      <c r="U73" s="2799">
        <f t="shared" si="76"/>
        <v>0</v>
      </c>
      <c r="V73" s="2799">
        <f t="shared" si="77"/>
        <v>0</v>
      </c>
      <c r="W73" s="2799">
        <f t="shared" si="78"/>
        <v>0</v>
      </c>
      <c r="X73" s="2799">
        <f t="shared" si="79"/>
        <v>0</v>
      </c>
      <c r="Y73" s="2799">
        <f t="shared" si="80"/>
        <v>0</v>
      </c>
      <c r="Z73" s="2803">
        <f t="shared" si="81"/>
        <v>0</v>
      </c>
      <c r="AA73" s="2799">
        <f t="shared" si="82"/>
        <v>0</v>
      </c>
      <c r="AB73" s="2799">
        <f t="shared" si="83"/>
        <v>0</v>
      </c>
      <c r="AC73" s="2800">
        <f t="shared" si="84"/>
        <v>0</v>
      </c>
      <c r="AD73" s="2800">
        <f t="shared" si="85"/>
        <v>0</v>
      </c>
      <c r="AE73" s="2800">
        <f t="shared" si="86"/>
        <v>0</v>
      </c>
      <c r="AG73" s="1937"/>
      <c r="AH73" s="1941"/>
      <c r="AI73" s="1942"/>
      <c r="AJ73" s="1977"/>
      <c r="AK73" s="1939"/>
      <c r="AL73" s="1939"/>
      <c r="AM73" s="1939"/>
      <c r="AN73" s="1939"/>
      <c r="AO73" s="1939"/>
      <c r="AP73" s="1939"/>
      <c r="AQ73" s="1955"/>
      <c r="AR73" s="1939"/>
      <c r="AS73" s="1944"/>
      <c r="AT73" s="1945"/>
      <c r="AU73" s="1945"/>
      <c r="AV73" s="1945"/>
      <c r="AX73" s="1937"/>
      <c r="AY73" s="1941"/>
      <c r="AZ73" s="1942"/>
      <c r="BA73" s="1944"/>
      <c r="BB73" s="1944"/>
      <c r="BC73" s="1944"/>
      <c r="BD73" s="1944"/>
      <c r="BE73" s="1944"/>
      <c r="BF73" s="1944"/>
      <c r="BG73" s="1944"/>
      <c r="BH73" s="1951"/>
      <c r="BI73" s="1944"/>
      <c r="BJ73" s="1944"/>
      <c r="BK73" s="1945"/>
      <c r="BL73" s="1945"/>
      <c r="BM73" s="1945"/>
      <c r="BO73" s="1937"/>
      <c r="BP73" s="1941"/>
      <c r="BQ73" s="1942"/>
      <c r="BR73" s="1944"/>
      <c r="BS73" s="1944"/>
      <c r="BT73" s="1944"/>
      <c r="BU73" s="1944"/>
      <c r="BV73" s="1944"/>
      <c r="BW73" s="1944"/>
      <c r="BX73" s="1944"/>
      <c r="BY73" s="1951"/>
      <c r="BZ73" s="1944"/>
      <c r="CA73" s="1944"/>
      <c r="CB73" s="1945"/>
      <c r="CC73" s="1945"/>
      <c r="CD73" s="1945"/>
      <c r="CE73" s="2272"/>
      <c r="CG73" s="1937"/>
      <c r="CH73" s="1941"/>
      <c r="CI73" s="1942"/>
      <c r="CJ73" s="2706"/>
      <c r="CK73" s="2706"/>
      <c r="CL73" s="2706"/>
      <c r="CM73" s="2706"/>
      <c r="CN73" s="2706"/>
      <c r="CO73" s="2706"/>
      <c r="CP73" s="2706"/>
      <c r="CQ73" s="2718"/>
      <c r="CR73" s="2706"/>
      <c r="CS73" s="2706"/>
      <c r="CT73" s="2708"/>
      <c r="CU73" s="2708"/>
      <c r="CV73" s="2708"/>
      <c r="CX73" s="1937" t="s">
        <v>3483</v>
      </c>
      <c r="CY73" s="2928" t="s">
        <v>2561</v>
      </c>
      <c r="CZ73" s="2929" t="s">
        <v>3475</v>
      </c>
      <c r="DA73" s="2931">
        <v>0.2</v>
      </c>
      <c r="DB73" s="2695"/>
      <c r="DC73" s="2695"/>
      <c r="DD73" s="2695"/>
      <c r="DE73" s="2695"/>
      <c r="DF73" s="2695"/>
      <c r="DG73" s="2695"/>
      <c r="DH73" s="2778"/>
      <c r="DI73" s="2695"/>
      <c r="DJ73" s="2695"/>
      <c r="DK73" s="2905"/>
      <c r="DL73" s="2905"/>
      <c r="DM73" s="2905"/>
    </row>
    <row r="74" spans="2:117">
      <c r="B74" s="1916">
        <f t="shared" si="68"/>
        <v>1.3</v>
      </c>
      <c r="C74" s="1938" t="str">
        <f t="shared" si="93"/>
        <v>維持管理</v>
      </c>
      <c r="D74" s="1935" t="e">
        <f>IF(I$63=0,0,G74/I$63)</f>
        <v>#DIV/0!</v>
      </c>
      <c r="E74" s="1936" t="e">
        <f>IF(J$63=0,0,H74/J$63)</f>
        <v>#DIV/0!</v>
      </c>
      <c r="G74" s="1936" t="e">
        <f t="shared" si="64"/>
        <v>#DIV/0!</v>
      </c>
      <c r="H74" s="1936" t="e">
        <f t="shared" si="65"/>
        <v>#DIV/0!</v>
      </c>
      <c r="I74" s="1936" t="e">
        <f>G75+G76+G77</f>
        <v>#DIV/0!</v>
      </c>
      <c r="J74" s="1936" t="e">
        <f>H75+H76+H77</f>
        <v>#DIV/0!</v>
      </c>
      <c r="K74" s="1936" t="e">
        <f>IF(スコア!O74=0,0,1)</f>
        <v>#DIV/0!</v>
      </c>
      <c r="L74" s="1936" t="e">
        <f>IF(スコア!R78=0,0,1)</f>
        <v>#DIV/0!</v>
      </c>
      <c r="M74" s="1936" t="e">
        <f t="shared" si="66"/>
        <v>#DIV/0!</v>
      </c>
      <c r="N74" s="1936" t="e">
        <f t="shared" si="67"/>
        <v>#DIV/0!</v>
      </c>
      <c r="P74" s="1937">
        <f t="shared" ref="P74:P137" si="94">IF($P$3=1,AX74,IF($P$3=2,BO74,IF($P$3=3,CG74,IF($P$3=4,CX74,AG74))))</f>
        <v>1.3</v>
      </c>
      <c r="Q74" s="1937" t="str">
        <f t="shared" ref="Q74:Q137" si="95">IF($P$3=1,AY74,IF($P$3=2,BP74,IF($P$3=3,CH74,IF($P$3=4,CY74,AH74))))</f>
        <v xml:space="preserve"> Q2 1</v>
      </c>
      <c r="R74" s="1938" t="str">
        <f t="shared" ref="R74:R137" si="96">IF($P$3=1,AZ74,IF($P$3=2,BQ74,IF($P$3=3,CI74,IF($P$3=4,CZ74,AI74))))</f>
        <v>維持管理</v>
      </c>
      <c r="S74" s="2799">
        <f t="shared" si="74"/>
        <v>0.3</v>
      </c>
      <c r="T74" s="2799">
        <f t="shared" si="75"/>
        <v>0.3</v>
      </c>
      <c r="U74" s="2799">
        <f t="shared" si="76"/>
        <v>0.3</v>
      </c>
      <c r="V74" s="2799">
        <f t="shared" si="77"/>
        <v>0.3</v>
      </c>
      <c r="W74" s="2799">
        <f t="shared" si="78"/>
        <v>0.3</v>
      </c>
      <c r="X74" s="2799">
        <f t="shared" si="79"/>
        <v>0.3</v>
      </c>
      <c r="Y74" s="2799">
        <f t="shared" si="80"/>
        <v>0.3</v>
      </c>
      <c r="Z74" s="2803">
        <f t="shared" si="81"/>
        <v>0.3</v>
      </c>
      <c r="AA74" s="2799">
        <f t="shared" si="82"/>
        <v>0.3</v>
      </c>
      <c r="AB74" s="2799">
        <f t="shared" si="83"/>
        <v>0.3</v>
      </c>
      <c r="AC74" s="2800">
        <f t="shared" si="84"/>
        <v>0</v>
      </c>
      <c r="AD74" s="2800">
        <f t="shared" si="85"/>
        <v>0</v>
      </c>
      <c r="AE74" s="2800">
        <f t="shared" si="86"/>
        <v>0</v>
      </c>
      <c r="AG74" s="1937">
        <v>1.3</v>
      </c>
      <c r="AH74" s="1941" t="s">
        <v>2556</v>
      </c>
      <c r="AI74" s="1942" t="s">
        <v>1</v>
      </c>
      <c r="AJ74" s="1977">
        <v>0.3</v>
      </c>
      <c r="AK74" s="1977">
        <v>0.3</v>
      </c>
      <c r="AL74" s="1977">
        <v>0.3</v>
      </c>
      <c r="AM74" s="1943">
        <v>0.3</v>
      </c>
      <c r="AN74" s="1943">
        <v>0.3</v>
      </c>
      <c r="AO74" s="1977">
        <v>0.3</v>
      </c>
      <c r="AP74" s="1943">
        <v>0.3</v>
      </c>
      <c r="AQ74" s="1977">
        <v>0.3</v>
      </c>
      <c r="AR74" s="1943">
        <v>0.3</v>
      </c>
      <c r="AS74" s="1944">
        <v>0.3</v>
      </c>
      <c r="AT74" s="1945">
        <v>0</v>
      </c>
      <c r="AU74" s="1945">
        <v>0</v>
      </c>
      <c r="AV74" s="1945">
        <v>0</v>
      </c>
      <c r="AX74" s="1937">
        <v>1.3</v>
      </c>
      <c r="AY74" s="1941" t="s">
        <v>2556</v>
      </c>
      <c r="AZ74" s="1942" t="s">
        <v>1</v>
      </c>
      <c r="BA74" s="1944">
        <v>0.3</v>
      </c>
      <c r="BB74" s="1944">
        <v>0.3</v>
      </c>
      <c r="BC74" s="1944">
        <v>0.3</v>
      </c>
      <c r="BD74" s="1944">
        <v>0.3</v>
      </c>
      <c r="BE74" s="1944">
        <v>0.3</v>
      </c>
      <c r="BF74" s="1944">
        <v>0.3</v>
      </c>
      <c r="BG74" s="1944">
        <v>0.3</v>
      </c>
      <c r="BH74" s="1951">
        <v>0.3</v>
      </c>
      <c r="BI74" s="1944">
        <v>0.3</v>
      </c>
      <c r="BJ74" s="1944">
        <v>0.3</v>
      </c>
      <c r="BK74" s="1945"/>
      <c r="BL74" s="1945"/>
      <c r="BM74" s="1945"/>
      <c r="BO74" s="1937">
        <v>1.3</v>
      </c>
      <c r="BP74" s="1941" t="s">
        <v>2556</v>
      </c>
      <c r="BQ74" s="1942" t="s">
        <v>1</v>
      </c>
      <c r="BR74" s="1944">
        <v>0.3</v>
      </c>
      <c r="BS74" s="1944">
        <v>0.3</v>
      </c>
      <c r="BT74" s="1944">
        <v>0.3</v>
      </c>
      <c r="BU74" s="1944">
        <v>0.3</v>
      </c>
      <c r="BV74" s="1944">
        <v>0.3</v>
      </c>
      <c r="BW74" s="1944">
        <v>0.3</v>
      </c>
      <c r="BX74" s="1944">
        <v>0.3</v>
      </c>
      <c r="BY74" s="1951">
        <v>0.3</v>
      </c>
      <c r="BZ74" s="1944">
        <v>0.3</v>
      </c>
      <c r="CA74" s="1944">
        <v>0.3</v>
      </c>
      <c r="CB74" s="1945"/>
      <c r="CC74" s="1945"/>
      <c r="CD74" s="1945"/>
      <c r="CE74" s="2272"/>
      <c r="CG74" s="1937">
        <v>1.3</v>
      </c>
      <c r="CH74" s="1941" t="s">
        <v>2556</v>
      </c>
      <c r="CI74" s="1942" t="s">
        <v>1</v>
      </c>
      <c r="CJ74" s="2706">
        <f t="shared" si="19"/>
        <v>0.3</v>
      </c>
      <c r="CK74" s="2706">
        <f t="shared" si="20"/>
        <v>0.3</v>
      </c>
      <c r="CL74" s="2706">
        <f t="shared" si="21"/>
        <v>0.3</v>
      </c>
      <c r="CM74" s="2706">
        <f t="shared" si="22"/>
        <v>0.3</v>
      </c>
      <c r="CN74" s="2706">
        <f t="shared" si="23"/>
        <v>0.3</v>
      </c>
      <c r="CO74" s="2706">
        <f t="shared" si="24"/>
        <v>0.3</v>
      </c>
      <c r="CP74" s="2706">
        <f t="shared" si="25"/>
        <v>0.3</v>
      </c>
      <c r="CQ74" s="2718">
        <f t="shared" si="26"/>
        <v>0.3</v>
      </c>
      <c r="CR74" s="2706">
        <f t="shared" si="27"/>
        <v>0.3</v>
      </c>
      <c r="CS74" s="2706">
        <f t="shared" si="28"/>
        <v>0.3</v>
      </c>
      <c r="CT74" s="2708">
        <f t="shared" si="13"/>
        <v>0</v>
      </c>
      <c r="CU74" s="2708">
        <f t="shared" si="14"/>
        <v>0</v>
      </c>
      <c r="CV74" s="2708">
        <f t="shared" si="15"/>
        <v>0</v>
      </c>
      <c r="CX74" s="1937">
        <v>1.3</v>
      </c>
      <c r="CY74" s="1941" t="s">
        <v>2556</v>
      </c>
      <c r="CZ74" s="1942" t="s">
        <v>1</v>
      </c>
      <c r="DA74" s="2924">
        <v>0.15</v>
      </c>
      <c r="DB74" s="2695"/>
      <c r="DC74" s="2695"/>
      <c r="DD74" s="2695"/>
      <c r="DE74" s="2695"/>
      <c r="DF74" s="2695"/>
      <c r="DG74" s="2695"/>
      <c r="DH74" s="2778"/>
      <c r="DI74" s="2695"/>
      <c r="DJ74" s="2695"/>
      <c r="DK74" s="2905"/>
      <c r="DL74" s="2905"/>
      <c r="DM74" s="2905"/>
    </row>
    <row r="75" spans="2:117">
      <c r="B75" s="1916" t="str">
        <f t="shared" si="68"/>
        <v>1.3.1</v>
      </c>
      <c r="C75" s="1938" t="str">
        <f t="shared" si="93"/>
        <v>維持管理に配慮した設計</v>
      </c>
      <c r="D75" s="1926" t="e">
        <f t="shared" ref="D75:E77" si="97">IF(I$74&gt;0,G75/I$74,0)</f>
        <v>#DIV/0!</v>
      </c>
      <c r="E75" s="1926" t="e">
        <f t="shared" si="97"/>
        <v>#DIV/0!</v>
      </c>
      <c r="G75" s="1936" t="e">
        <f t="shared" si="64"/>
        <v>#DIV/0!</v>
      </c>
      <c r="H75" s="1936" t="e">
        <f t="shared" si="65"/>
        <v>#DIV/0!</v>
      </c>
      <c r="I75" s="1936"/>
      <c r="J75" s="1936"/>
      <c r="K75" s="1936" t="e">
        <f>IF(スコア!O75=0,0,1)</f>
        <v>#DIV/0!</v>
      </c>
      <c r="L75" s="1936" t="e">
        <f>IF(スコア!R79=0,0,1)</f>
        <v>#DIV/0!</v>
      </c>
      <c r="M75" s="1936" t="e">
        <f t="shared" si="66"/>
        <v>#DIV/0!</v>
      </c>
      <c r="N75" s="1936" t="e">
        <f t="shared" si="67"/>
        <v>#DIV/0!</v>
      </c>
      <c r="P75" s="1937" t="str">
        <f t="shared" si="94"/>
        <v>1.3.1</v>
      </c>
      <c r="Q75" s="1937" t="str">
        <f t="shared" si="95"/>
        <v xml:space="preserve"> Q2 1.3</v>
      </c>
      <c r="R75" s="1938" t="str">
        <f t="shared" si="96"/>
        <v>維持管理に配慮した設計</v>
      </c>
      <c r="S75" s="2799">
        <f t="shared" si="74"/>
        <v>0.5</v>
      </c>
      <c r="T75" s="2799">
        <f t="shared" si="75"/>
        <v>0.5</v>
      </c>
      <c r="U75" s="2799">
        <f t="shared" si="76"/>
        <v>0.5</v>
      </c>
      <c r="V75" s="2799">
        <f t="shared" si="77"/>
        <v>0.5</v>
      </c>
      <c r="W75" s="2799">
        <f t="shared" si="78"/>
        <v>0.5</v>
      </c>
      <c r="X75" s="2799">
        <f t="shared" si="79"/>
        <v>0.5</v>
      </c>
      <c r="Y75" s="2799">
        <f t="shared" si="80"/>
        <v>0.5</v>
      </c>
      <c r="Z75" s="2803">
        <f t="shared" si="81"/>
        <v>0.5</v>
      </c>
      <c r="AA75" s="2799">
        <f t="shared" si="82"/>
        <v>0.5</v>
      </c>
      <c r="AB75" s="2799">
        <f t="shared" si="83"/>
        <v>0.5</v>
      </c>
      <c r="AC75" s="2800">
        <f t="shared" si="84"/>
        <v>0</v>
      </c>
      <c r="AD75" s="2800">
        <f t="shared" si="85"/>
        <v>0</v>
      </c>
      <c r="AE75" s="2800">
        <f t="shared" si="86"/>
        <v>0</v>
      </c>
      <c r="AG75" s="1937" t="s">
        <v>2565</v>
      </c>
      <c r="AH75" s="1941" t="s">
        <v>2057</v>
      </c>
      <c r="AI75" s="648" t="s">
        <v>2058</v>
      </c>
      <c r="AJ75" s="1977">
        <v>0.5</v>
      </c>
      <c r="AK75" s="1977">
        <v>0.5</v>
      </c>
      <c r="AL75" s="1977">
        <v>0.5</v>
      </c>
      <c r="AM75" s="1950">
        <v>0.5</v>
      </c>
      <c r="AN75" s="1950">
        <v>0.5</v>
      </c>
      <c r="AO75" s="1977">
        <v>0.5</v>
      </c>
      <c r="AP75" s="1950">
        <v>0.5</v>
      </c>
      <c r="AQ75" s="1977">
        <v>0.5</v>
      </c>
      <c r="AR75" s="1950">
        <v>0.5</v>
      </c>
      <c r="AS75" s="1944">
        <v>0.5</v>
      </c>
      <c r="AT75" s="1945">
        <v>0</v>
      </c>
      <c r="AU75" s="1945">
        <v>0</v>
      </c>
      <c r="AV75" s="1945">
        <v>0</v>
      </c>
      <c r="AX75" s="1937" t="s">
        <v>2565</v>
      </c>
      <c r="AY75" s="1941" t="s">
        <v>2057</v>
      </c>
      <c r="AZ75" s="1942" t="s">
        <v>2059</v>
      </c>
      <c r="BA75" s="1944">
        <v>0.5</v>
      </c>
      <c r="BB75" s="1944">
        <v>0.5</v>
      </c>
      <c r="BC75" s="1944">
        <v>0.5</v>
      </c>
      <c r="BD75" s="1944">
        <v>0.5</v>
      </c>
      <c r="BE75" s="1944">
        <v>0.5</v>
      </c>
      <c r="BF75" s="1944">
        <v>0.5</v>
      </c>
      <c r="BG75" s="1944">
        <v>0.5</v>
      </c>
      <c r="BH75" s="1951">
        <v>0.5</v>
      </c>
      <c r="BI75" s="1944">
        <v>0.5</v>
      </c>
      <c r="BJ75" s="1944">
        <v>0.5</v>
      </c>
      <c r="BK75" s="1945"/>
      <c r="BL75" s="1945"/>
      <c r="BM75" s="1945"/>
      <c r="BO75" s="1937" t="s">
        <v>2565</v>
      </c>
      <c r="BP75" s="1941" t="s">
        <v>2057</v>
      </c>
      <c r="BQ75" s="1942" t="s">
        <v>2059</v>
      </c>
      <c r="BR75" s="1944">
        <v>0.5</v>
      </c>
      <c r="BS75" s="1944">
        <v>0.5</v>
      </c>
      <c r="BT75" s="1944">
        <v>0.5</v>
      </c>
      <c r="BU75" s="1944">
        <v>0.5</v>
      </c>
      <c r="BV75" s="1944">
        <v>0.5</v>
      </c>
      <c r="BW75" s="1944">
        <v>0.5</v>
      </c>
      <c r="BX75" s="1944">
        <v>0.5</v>
      </c>
      <c r="BY75" s="1951">
        <v>0.5</v>
      </c>
      <c r="BZ75" s="1944">
        <v>0.5</v>
      </c>
      <c r="CA75" s="1944">
        <v>0.5</v>
      </c>
      <c r="CB75" s="1945"/>
      <c r="CC75" s="1945"/>
      <c r="CD75" s="1945"/>
      <c r="CE75" s="2272"/>
      <c r="CG75" s="1937" t="s">
        <v>2565</v>
      </c>
      <c r="CH75" s="1941" t="s">
        <v>2057</v>
      </c>
      <c r="CI75" s="1942" t="s">
        <v>2059</v>
      </c>
      <c r="CJ75" s="2706">
        <f t="shared" si="19"/>
        <v>0.5</v>
      </c>
      <c r="CK75" s="2706">
        <f t="shared" si="20"/>
        <v>0.5</v>
      </c>
      <c r="CL75" s="2706">
        <f t="shared" si="21"/>
        <v>0.5</v>
      </c>
      <c r="CM75" s="2706">
        <f t="shared" si="22"/>
        <v>0.5</v>
      </c>
      <c r="CN75" s="2706">
        <f t="shared" si="23"/>
        <v>0.5</v>
      </c>
      <c r="CO75" s="2706">
        <f t="shared" si="24"/>
        <v>0.5</v>
      </c>
      <c r="CP75" s="2706">
        <f t="shared" si="25"/>
        <v>0.5</v>
      </c>
      <c r="CQ75" s="2718">
        <f t="shared" si="26"/>
        <v>0.5</v>
      </c>
      <c r="CR75" s="2706">
        <f t="shared" si="27"/>
        <v>0.5</v>
      </c>
      <c r="CS75" s="2706">
        <f t="shared" si="28"/>
        <v>0.5</v>
      </c>
      <c r="CT75" s="2708">
        <f t="shared" si="13"/>
        <v>0</v>
      </c>
      <c r="CU75" s="2708">
        <f t="shared" si="14"/>
        <v>0</v>
      </c>
      <c r="CV75" s="2708">
        <f t="shared" si="15"/>
        <v>0</v>
      </c>
      <c r="CX75" s="1937" t="s">
        <v>2565</v>
      </c>
      <c r="CY75" s="1941" t="s">
        <v>2057</v>
      </c>
      <c r="CZ75" s="1942" t="s">
        <v>2059</v>
      </c>
      <c r="DA75" s="2924">
        <v>1</v>
      </c>
      <c r="DB75" s="2695"/>
      <c r="DC75" s="2695"/>
      <c r="DD75" s="2695"/>
      <c r="DE75" s="2695"/>
      <c r="DF75" s="2695"/>
      <c r="DG75" s="2695"/>
      <c r="DH75" s="2778"/>
      <c r="DI75" s="2695"/>
      <c r="DJ75" s="2695"/>
      <c r="DK75" s="2905"/>
      <c r="DL75" s="2905"/>
      <c r="DM75" s="2905"/>
    </row>
    <row r="76" spans="2:117">
      <c r="B76" s="1916" t="str">
        <f t="shared" si="68"/>
        <v>1.3.2</v>
      </c>
      <c r="C76" s="1938" t="str">
        <f t="shared" si="93"/>
        <v>維持管理用機能の確保</v>
      </c>
      <c r="D76" s="1926" t="e">
        <f t="shared" si="97"/>
        <v>#DIV/0!</v>
      </c>
      <c r="E76" s="1926" t="e">
        <f t="shared" si="97"/>
        <v>#DIV/0!</v>
      </c>
      <c r="G76" s="1936" t="e">
        <f t="shared" ref="G76:G107" si="98">K76*M76</f>
        <v>#DIV/0!</v>
      </c>
      <c r="H76" s="1936" t="e">
        <f t="shared" ref="H76:H107" si="99">L76*N76</f>
        <v>#DIV/0!</v>
      </c>
      <c r="I76" s="1936"/>
      <c r="J76" s="1936"/>
      <c r="K76" s="1936" t="e">
        <f>IF(スコア!O76=0,0,1)</f>
        <v>#DIV/0!</v>
      </c>
      <c r="L76" s="1936">
        <f>IF(スコア!R80=0,0,1)</f>
        <v>0</v>
      </c>
      <c r="M76" s="1936" t="e">
        <f t="shared" ref="M76:M107" si="100">SUMPRODUCT($S$7:$AB$7,S76:AB76)</f>
        <v>#DIV/0!</v>
      </c>
      <c r="N76" s="1936" t="e">
        <f t="shared" ref="N76:N98" si="101">(AC$7*AC76)+(AD$7*AD76)+(AE$7*AE76)</f>
        <v>#DIV/0!</v>
      </c>
      <c r="P76" s="1937" t="str">
        <f t="shared" si="94"/>
        <v>1.3.2</v>
      </c>
      <c r="Q76" s="1937" t="str">
        <f t="shared" si="95"/>
        <v xml:space="preserve"> Q2 1.3</v>
      </c>
      <c r="R76" s="1938" t="str">
        <f t="shared" si="96"/>
        <v>維持管理用機能の確保</v>
      </c>
      <c r="S76" s="2799">
        <f t="shared" si="74"/>
        <v>0.5</v>
      </c>
      <c r="T76" s="2799">
        <f t="shared" si="75"/>
        <v>0.5</v>
      </c>
      <c r="U76" s="2799">
        <f t="shared" si="76"/>
        <v>0.5</v>
      </c>
      <c r="V76" s="2799">
        <f t="shared" si="77"/>
        <v>0.5</v>
      </c>
      <c r="W76" s="2799">
        <f t="shared" si="78"/>
        <v>0.5</v>
      </c>
      <c r="X76" s="2799">
        <f t="shared" si="79"/>
        <v>0.5</v>
      </c>
      <c r="Y76" s="2799">
        <f t="shared" si="80"/>
        <v>0.5</v>
      </c>
      <c r="Z76" s="2803">
        <f t="shared" si="81"/>
        <v>0.5</v>
      </c>
      <c r="AA76" s="2799">
        <f t="shared" si="82"/>
        <v>0.5</v>
      </c>
      <c r="AB76" s="2799">
        <f t="shared" si="83"/>
        <v>0.5</v>
      </c>
      <c r="AC76" s="2800">
        <f t="shared" si="84"/>
        <v>0</v>
      </c>
      <c r="AD76" s="2800">
        <f t="shared" si="85"/>
        <v>0</v>
      </c>
      <c r="AE76" s="2800">
        <f t="shared" si="86"/>
        <v>0</v>
      </c>
      <c r="AG76" s="1937" t="s">
        <v>2060</v>
      </c>
      <c r="AH76" s="1941" t="s">
        <v>2057</v>
      </c>
      <c r="AI76" s="648" t="s">
        <v>2061</v>
      </c>
      <c r="AJ76" s="1977">
        <v>0.3</v>
      </c>
      <c r="AK76" s="1977">
        <v>0.3</v>
      </c>
      <c r="AL76" s="1977">
        <v>0.3</v>
      </c>
      <c r="AM76" s="1950">
        <v>0.3</v>
      </c>
      <c r="AN76" s="1950">
        <v>0.3</v>
      </c>
      <c r="AO76" s="1977">
        <v>0.3</v>
      </c>
      <c r="AP76" s="1950">
        <v>0.3</v>
      </c>
      <c r="AQ76" s="1977">
        <v>0.3</v>
      </c>
      <c r="AR76" s="1950">
        <v>0.3</v>
      </c>
      <c r="AS76" s="1944">
        <v>0.3</v>
      </c>
      <c r="AT76" s="1945">
        <v>0</v>
      </c>
      <c r="AU76" s="1945">
        <v>0</v>
      </c>
      <c r="AV76" s="1945">
        <v>0</v>
      </c>
      <c r="AX76" s="1937" t="s">
        <v>2060</v>
      </c>
      <c r="AY76" s="1941" t="s">
        <v>2057</v>
      </c>
      <c r="AZ76" s="1942" t="s">
        <v>2062</v>
      </c>
      <c r="BA76" s="1944">
        <v>0.5</v>
      </c>
      <c r="BB76" s="1944">
        <v>0.5</v>
      </c>
      <c r="BC76" s="1944">
        <v>0.5</v>
      </c>
      <c r="BD76" s="1944">
        <v>0.5</v>
      </c>
      <c r="BE76" s="1944">
        <v>0.5</v>
      </c>
      <c r="BF76" s="1944">
        <v>0.5</v>
      </c>
      <c r="BG76" s="1944">
        <v>0.5</v>
      </c>
      <c r="BH76" s="1951">
        <v>0.5</v>
      </c>
      <c r="BI76" s="1944">
        <v>0.5</v>
      </c>
      <c r="BJ76" s="1944">
        <v>0.5</v>
      </c>
      <c r="BK76" s="1945"/>
      <c r="BL76" s="1945"/>
      <c r="BM76" s="1945"/>
      <c r="BO76" s="1937" t="s">
        <v>2060</v>
      </c>
      <c r="BP76" s="1941" t="s">
        <v>2057</v>
      </c>
      <c r="BQ76" s="1942" t="s">
        <v>2062</v>
      </c>
      <c r="BR76" s="1944">
        <v>0.5</v>
      </c>
      <c r="BS76" s="1944">
        <v>0.5</v>
      </c>
      <c r="BT76" s="1944">
        <v>0.5</v>
      </c>
      <c r="BU76" s="1944">
        <v>0.5</v>
      </c>
      <c r="BV76" s="1944">
        <v>0.5</v>
      </c>
      <c r="BW76" s="1944">
        <v>0.5</v>
      </c>
      <c r="BX76" s="1944">
        <v>0.5</v>
      </c>
      <c r="BY76" s="1951">
        <v>0.5</v>
      </c>
      <c r="BZ76" s="1944">
        <v>0.5</v>
      </c>
      <c r="CA76" s="1944">
        <v>0.5</v>
      </c>
      <c r="CB76" s="1945"/>
      <c r="CC76" s="1945"/>
      <c r="CD76" s="1945"/>
      <c r="CE76" s="2272"/>
      <c r="CG76" s="1937" t="s">
        <v>2060</v>
      </c>
      <c r="CH76" s="1941" t="s">
        <v>2057</v>
      </c>
      <c r="CI76" s="1942" t="s">
        <v>2062</v>
      </c>
      <c r="CJ76" s="2706">
        <f t="shared" si="19"/>
        <v>0.5</v>
      </c>
      <c r="CK76" s="2706">
        <f t="shared" ref="CK76:CK141" si="102">BS76</f>
        <v>0.5</v>
      </c>
      <c r="CL76" s="2706">
        <f t="shared" ref="CL76:CL141" si="103">BT76</f>
        <v>0.5</v>
      </c>
      <c r="CM76" s="2706">
        <f t="shared" ref="CM76:CM141" si="104">BU76</f>
        <v>0.5</v>
      </c>
      <c r="CN76" s="2706">
        <f t="shared" ref="CN76:CN141" si="105">BV76</f>
        <v>0.5</v>
      </c>
      <c r="CO76" s="2706">
        <f t="shared" ref="CO76:CO141" si="106">BW76</f>
        <v>0.5</v>
      </c>
      <c r="CP76" s="2706">
        <f t="shared" ref="CP76:CP141" si="107">BX76</f>
        <v>0.5</v>
      </c>
      <c r="CQ76" s="2718">
        <f t="shared" ref="CQ76:CQ141" si="108">BY76</f>
        <v>0.5</v>
      </c>
      <c r="CR76" s="2706">
        <f t="shared" ref="CR76:CR141" si="109">BZ76</f>
        <v>0.5</v>
      </c>
      <c r="CS76" s="2706">
        <f t="shared" ref="CS76:CS141" si="110">CA76</f>
        <v>0.5</v>
      </c>
      <c r="CT76" s="2708">
        <f t="shared" ref="CT76:CT141" si="111">CB76</f>
        <v>0</v>
      </c>
      <c r="CU76" s="2708">
        <f t="shared" ref="CU76:CU141" si="112">CC76</f>
        <v>0</v>
      </c>
      <c r="CV76" s="2708">
        <f t="shared" ref="CV76:CV141" si="113">CD76</f>
        <v>0</v>
      </c>
      <c r="CX76" s="1937" t="s">
        <v>2060</v>
      </c>
      <c r="CY76" s="1941" t="s">
        <v>2057</v>
      </c>
      <c r="CZ76" s="1942" t="s">
        <v>2062</v>
      </c>
      <c r="DA76" s="2924">
        <v>0</v>
      </c>
      <c r="DB76" s="2695"/>
      <c r="DC76" s="2695"/>
      <c r="DD76" s="2695"/>
      <c r="DE76" s="2695"/>
      <c r="DF76" s="2695"/>
      <c r="DG76" s="2695"/>
      <c r="DH76" s="2778"/>
      <c r="DI76" s="2695"/>
      <c r="DJ76" s="2695"/>
      <c r="DK76" s="2905"/>
      <c r="DL76" s="2905"/>
      <c r="DM76" s="2905"/>
    </row>
    <row r="77" spans="2:117" hidden="1">
      <c r="B77" s="1916">
        <f t="shared" si="68"/>
        <v>0</v>
      </c>
      <c r="C77" s="1938">
        <f t="shared" si="93"/>
        <v>0</v>
      </c>
      <c r="D77" s="1926" t="e">
        <f t="shared" si="97"/>
        <v>#DIV/0!</v>
      </c>
      <c r="E77" s="1926" t="e">
        <f t="shared" si="97"/>
        <v>#DIV/0!</v>
      </c>
      <c r="G77" s="1936" t="e">
        <f t="shared" si="98"/>
        <v>#DIV/0!</v>
      </c>
      <c r="H77" s="1936" t="e">
        <f t="shared" si="99"/>
        <v>#DIV/0!</v>
      </c>
      <c r="I77" s="1936"/>
      <c r="J77" s="1936"/>
      <c r="K77" s="1936" t="e">
        <f>IF(スコア!O77=0,0,1)</f>
        <v>#DIV/0!</v>
      </c>
      <c r="L77" s="1936">
        <f>IF(スコア!R81=0,0,1)</f>
        <v>0</v>
      </c>
      <c r="M77" s="1936" t="e">
        <f t="shared" si="100"/>
        <v>#DIV/0!</v>
      </c>
      <c r="N77" s="1936" t="e">
        <f t="shared" si="101"/>
        <v>#DIV/0!</v>
      </c>
      <c r="P77" s="1937">
        <f t="shared" si="94"/>
        <v>0</v>
      </c>
      <c r="Q77" s="1937" t="str">
        <f t="shared" si="95"/>
        <v>0</v>
      </c>
      <c r="R77" s="1938">
        <f t="shared" si="96"/>
        <v>0</v>
      </c>
      <c r="S77" s="2799">
        <f t="shared" si="74"/>
        <v>0</v>
      </c>
      <c r="T77" s="2799">
        <f t="shared" si="75"/>
        <v>0</v>
      </c>
      <c r="U77" s="2799">
        <f t="shared" si="76"/>
        <v>0</v>
      </c>
      <c r="V77" s="2799">
        <f t="shared" si="77"/>
        <v>0</v>
      </c>
      <c r="W77" s="2799">
        <f t="shared" si="78"/>
        <v>0</v>
      </c>
      <c r="X77" s="2799">
        <f t="shared" si="79"/>
        <v>0</v>
      </c>
      <c r="Y77" s="2799">
        <f t="shared" si="80"/>
        <v>0</v>
      </c>
      <c r="Z77" s="2803">
        <f t="shared" si="81"/>
        <v>0</v>
      </c>
      <c r="AA77" s="2799">
        <f t="shared" si="82"/>
        <v>0</v>
      </c>
      <c r="AB77" s="2799">
        <f t="shared" si="83"/>
        <v>0</v>
      </c>
      <c r="AC77" s="2800">
        <f t="shared" si="84"/>
        <v>0</v>
      </c>
      <c r="AD77" s="2800">
        <f t="shared" si="85"/>
        <v>0</v>
      </c>
      <c r="AE77" s="2800">
        <f t="shared" si="86"/>
        <v>0</v>
      </c>
      <c r="AG77" s="1937" t="s">
        <v>2063</v>
      </c>
      <c r="AH77" s="1941" t="s">
        <v>2729</v>
      </c>
      <c r="AI77" s="648" t="s">
        <v>4</v>
      </c>
      <c r="AJ77" s="1977">
        <v>0.2</v>
      </c>
      <c r="AK77" s="1977">
        <v>0.2</v>
      </c>
      <c r="AL77" s="1977">
        <v>0.2</v>
      </c>
      <c r="AM77" s="1950">
        <v>0.2</v>
      </c>
      <c r="AN77" s="1950">
        <v>0.2</v>
      </c>
      <c r="AO77" s="1977">
        <v>0.2</v>
      </c>
      <c r="AP77" s="1950">
        <v>0.2</v>
      </c>
      <c r="AQ77" s="1977">
        <v>0.2</v>
      </c>
      <c r="AR77" s="1950">
        <v>0.2</v>
      </c>
      <c r="AS77" s="1944">
        <v>0.2</v>
      </c>
      <c r="AT77" s="1945">
        <v>0</v>
      </c>
      <c r="AU77" s="1945">
        <v>0</v>
      </c>
      <c r="AV77" s="1945">
        <v>0</v>
      </c>
      <c r="AX77" s="1937">
        <v>0</v>
      </c>
      <c r="AY77" s="1941" t="s">
        <v>2730</v>
      </c>
      <c r="AZ77" s="1942"/>
      <c r="BA77" s="1944"/>
      <c r="BB77" s="1944"/>
      <c r="BC77" s="1944"/>
      <c r="BD77" s="1944"/>
      <c r="BE77" s="1944"/>
      <c r="BF77" s="1944"/>
      <c r="BG77" s="1944"/>
      <c r="BH77" s="1983"/>
      <c r="BI77" s="1944"/>
      <c r="BJ77" s="1944"/>
      <c r="BK77" s="1945"/>
      <c r="BL77" s="1945"/>
      <c r="BM77" s="1945"/>
      <c r="BO77" s="1937">
        <v>0</v>
      </c>
      <c r="BP77" s="1941" t="s">
        <v>2730</v>
      </c>
      <c r="BQ77" s="1942"/>
      <c r="BR77" s="1944"/>
      <c r="BS77" s="1944"/>
      <c r="BT77" s="1944"/>
      <c r="BU77" s="1944"/>
      <c r="BV77" s="1944"/>
      <c r="BW77" s="1944"/>
      <c r="BX77" s="1944"/>
      <c r="BY77" s="1983"/>
      <c r="BZ77" s="1944"/>
      <c r="CA77" s="1944"/>
      <c r="CB77" s="1945"/>
      <c r="CC77" s="1945"/>
      <c r="CD77" s="1945"/>
      <c r="CE77" s="2272"/>
      <c r="CG77" s="1937">
        <v>0</v>
      </c>
      <c r="CH77" s="1941" t="s">
        <v>2730</v>
      </c>
      <c r="CI77" s="1942"/>
      <c r="CJ77" s="2706">
        <f t="shared" ref="CJ77:CJ142" si="114">BR77</f>
        <v>0</v>
      </c>
      <c r="CK77" s="2706">
        <f t="shared" si="102"/>
        <v>0</v>
      </c>
      <c r="CL77" s="2706">
        <f t="shared" si="103"/>
        <v>0</v>
      </c>
      <c r="CM77" s="2706">
        <f t="shared" si="104"/>
        <v>0</v>
      </c>
      <c r="CN77" s="2706">
        <f t="shared" si="105"/>
        <v>0</v>
      </c>
      <c r="CO77" s="2706">
        <f t="shared" si="106"/>
        <v>0</v>
      </c>
      <c r="CP77" s="2706">
        <f t="shared" si="107"/>
        <v>0</v>
      </c>
      <c r="CQ77" s="2719">
        <f t="shared" si="108"/>
        <v>0</v>
      </c>
      <c r="CR77" s="2706">
        <f t="shared" si="109"/>
        <v>0</v>
      </c>
      <c r="CS77" s="2706">
        <f t="shared" si="110"/>
        <v>0</v>
      </c>
      <c r="CT77" s="2708">
        <f t="shared" si="111"/>
        <v>0</v>
      </c>
      <c r="CU77" s="2708">
        <f t="shared" si="112"/>
        <v>0</v>
      </c>
      <c r="CV77" s="2708">
        <f t="shared" si="113"/>
        <v>0</v>
      </c>
      <c r="CX77" s="1937">
        <v>0</v>
      </c>
      <c r="CY77" s="1941" t="s">
        <v>2730</v>
      </c>
      <c r="CZ77" s="1942"/>
      <c r="DA77" s="2695">
        <f t="shared" ref="DA77:DA139" si="115">BR77</f>
        <v>0</v>
      </c>
      <c r="DB77" s="2695"/>
      <c r="DC77" s="2695"/>
      <c r="DD77" s="2695"/>
      <c r="DE77" s="2695"/>
      <c r="DF77" s="2695"/>
      <c r="DG77" s="2695"/>
      <c r="DH77" s="2913"/>
      <c r="DI77" s="2695"/>
      <c r="DJ77" s="2695"/>
      <c r="DK77" s="2905"/>
      <c r="DL77" s="2905"/>
      <c r="DM77" s="2905"/>
    </row>
    <row r="78" spans="2:117">
      <c r="B78" s="1916">
        <f t="shared" ref="B78:B109" si="116">P78</f>
        <v>2</v>
      </c>
      <c r="C78" s="1928" t="str">
        <f t="shared" si="93"/>
        <v>耐用性・信頼性</v>
      </c>
      <c r="D78" s="1924" t="e">
        <f>IF(I$62=0,0,G78/I$62)</f>
        <v>#DIV/0!</v>
      </c>
      <c r="E78" s="1925" t="e">
        <f>IF(J$62=0,0,H78/J$62)</f>
        <v>#DIV/0!</v>
      </c>
      <c r="G78" s="1925" t="e">
        <f t="shared" si="98"/>
        <v>#DIV/0!</v>
      </c>
      <c r="H78" s="1925" t="e">
        <f t="shared" si="99"/>
        <v>#DIV/0!</v>
      </c>
      <c r="I78" s="1925" t="e">
        <f>G79+G82++G89+G93</f>
        <v>#DIV/0!</v>
      </c>
      <c r="J78" s="1925" t="e">
        <f>H79+H82++H89+H93</f>
        <v>#DIV/0!</v>
      </c>
      <c r="K78" s="1925" t="e">
        <f>IF(スコア!O78=0,0,1)</f>
        <v>#DIV/0!</v>
      </c>
      <c r="L78" s="1925" t="e">
        <f>IF(スコア!R78=0,0,1)</f>
        <v>#DIV/0!</v>
      </c>
      <c r="M78" s="1925" t="e">
        <f t="shared" si="100"/>
        <v>#DIV/0!</v>
      </c>
      <c r="N78" s="1925" t="e">
        <f t="shared" si="101"/>
        <v>#DIV/0!</v>
      </c>
      <c r="P78" s="1927">
        <f t="shared" si="94"/>
        <v>2</v>
      </c>
      <c r="Q78" s="1927" t="str">
        <f t="shared" si="95"/>
        <v xml:space="preserve"> Q2</v>
      </c>
      <c r="R78" s="1928" t="str">
        <f t="shared" si="96"/>
        <v>耐用性・信頼性</v>
      </c>
      <c r="S78" s="2796">
        <f t="shared" si="74"/>
        <v>0.3</v>
      </c>
      <c r="T78" s="2796">
        <f t="shared" si="75"/>
        <v>0.3</v>
      </c>
      <c r="U78" s="2796">
        <f t="shared" si="76"/>
        <v>0.3</v>
      </c>
      <c r="V78" s="2796">
        <f t="shared" si="77"/>
        <v>0.3</v>
      </c>
      <c r="W78" s="2796">
        <f t="shared" si="78"/>
        <v>0.3</v>
      </c>
      <c r="X78" s="2796">
        <f t="shared" si="79"/>
        <v>0.3</v>
      </c>
      <c r="Y78" s="2796">
        <f t="shared" si="80"/>
        <v>0.3</v>
      </c>
      <c r="Z78" s="2810">
        <f t="shared" si="81"/>
        <v>0.3</v>
      </c>
      <c r="AA78" s="2796">
        <f t="shared" si="82"/>
        <v>0.3</v>
      </c>
      <c r="AB78" s="2796">
        <f t="shared" si="83"/>
        <v>0.3</v>
      </c>
      <c r="AC78" s="2798">
        <f t="shared" si="84"/>
        <v>0</v>
      </c>
      <c r="AD78" s="2796">
        <f t="shared" si="85"/>
        <v>0</v>
      </c>
      <c r="AE78" s="2796">
        <f t="shared" si="86"/>
        <v>0</v>
      </c>
      <c r="AG78" s="1927">
        <v>2</v>
      </c>
      <c r="AH78" s="1931" t="s">
        <v>2554</v>
      </c>
      <c r="AI78" s="1953" t="s">
        <v>2064</v>
      </c>
      <c r="AJ78" s="1929">
        <v>0.3</v>
      </c>
      <c r="AK78" s="1929">
        <v>0.3</v>
      </c>
      <c r="AL78" s="1929">
        <v>0.3</v>
      </c>
      <c r="AM78" s="1929">
        <v>0.3</v>
      </c>
      <c r="AN78" s="1929">
        <v>0.3</v>
      </c>
      <c r="AO78" s="1929">
        <v>0.3</v>
      </c>
      <c r="AP78" s="1929">
        <v>0.3</v>
      </c>
      <c r="AQ78" s="1984">
        <v>0.3</v>
      </c>
      <c r="AR78" s="1929">
        <v>0.3</v>
      </c>
      <c r="AS78" s="1932">
        <v>0.3</v>
      </c>
      <c r="AT78" s="1933">
        <v>0</v>
      </c>
      <c r="AU78" s="1932">
        <v>0</v>
      </c>
      <c r="AV78" s="1932">
        <v>0</v>
      </c>
      <c r="AX78" s="1927">
        <v>2</v>
      </c>
      <c r="AY78" s="1931" t="s">
        <v>2554</v>
      </c>
      <c r="AZ78" s="1953" t="s">
        <v>2041</v>
      </c>
      <c r="BA78" s="1932">
        <v>0.3</v>
      </c>
      <c r="BB78" s="1932">
        <v>0.3</v>
      </c>
      <c r="BC78" s="1932">
        <v>0.3</v>
      </c>
      <c r="BD78" s="1932">
        <v>0.3</v>
      </c>
      <c r="BE78" s="1932">
        <v>0.3</v>
      </c>
      <c r="BF78" s="1932">
        <v>0.3</v>
      </c>
      <c r="BG78" s="1932">
        <v>0.3</v>
      </c>
      <c r="BH78" s="1985">
        <v>0.3</v>
      </c>
      <c r="BI78" s="1932">
        <v>0.3</v>
      </c>
      <c r="BJ78" s="1932">
        <v>0.3</v>
      </c>
      <c r="BK78" s="1933"/>
      <c r="BL78" s="1932"/>
      <c r="BM78" s="1932"/>
      <c r="BO78" s="1927">
        <v>2</v>
      </c>
      <c r="BP78" s="1931" t="s">
        <v>2554</v>
      </c>
      <c r="BQ78" s="1953" t="s">
        <v>2064</v>
      </c>
      <c r="BR78" s="1932">
        <v>0.3</v>
      </c>
      <c r="BS78" s="1932">
        <v>0.3</v>
      </c>
      <c r="BT78" s="1932">
        <v>0.3</v>
      </c>
      <c r="BU78" s="1932">
        <v>0.3</v>
      </c>
      <c r="BV78" s="1932">
        <v>0.3</v>
      </c>
      <c r="BW78" s="1932">
        <v>0.3</v>
      </c>
      <c r="BX78" s="1932">
        <v>0.3</v>
      </c>
      <c r="BY78" s="1932">
        <v>0.3</v>
      </c>
      <c r="BZ78" s="1932">
        <v>0.3</v>
      </c>
      <c r="CA78" s="1932">
        <v>0.3</v>
      </c>
      <c r="CB78" s="1933"/>
      <c r="CC78" s="1932"/>
      <c r="CD78" s="1932"/>
      <c r="CE78" s="2271"/>
      <c r="CG78" s="1927">
        <v>2</v>
      </c>
      <c r="CH78" s="1931" t="s">
        <v>2554</v>
      </c>
      <c r="CI78" s="1953" t="s">
        <v>2064</v>
      </c>
      <c r="CJ78" s="2693">
        <v>0.25</v>
      </c>
      <c r="CK78" s="2693">
        <v>0.25</v>
      </c>
      <c r="CL78" s="2693">
        <v>0.25</v>
      </c>
      <c r="CM78" s="2693">
        <v>0.25</v>
      </c>
      <c r="CN78" s="2693">
        <v>0.25</v>
      </c>
      <c r="CO78" s="2693">
        <v>0.25</v>
      </c>
      <c r="CP78" s="2693">
        <v>0.25</v>
      </c>
      <c r="CQ78" s="2693">
        <v>0.25</v>
      </c>
      <c r="CR78" s="2693">
        <v>0.25</v>
      </c>
      <c r="CS78" s="2693">
        <v>0.25</v>
      </c>
      <c r="CT78" s="2694">
        <f t="shared" si="111"/>
        <v>0</v>
      </c>
      <c r="CU78" s="2693">
        <f t="shared" si="112"/>
        <v>0</v>
      </c>
      <c r="CV78" s="2693">
        <f t="shared" si="113"/>
        <v>0</v>
      </c>
      <c r="CX78" s="1927">
        <v>2</v>
      </c>
      <c r="CY78" s="1931" t="s">
        <v>2554</v>
      </c>
      <c r="CZ78" s="1953" t="s">
        <v>2064</v>
      </c>
      <c r="DA78" s="2932">
        <v>0.2</v>
      </c>
      <c r="DB78" s="2693"/>
      <c r="DC78" s="2693"/>
      <c r="DD78" s="2693"/>
      <c r="DE78" s="2693"/>
      <c r="DF78" s="2693"/>
      <c r="DG78" s="2693"/>
      <c r="DH78" s="2693"/>
      <c r="DI78" s="2693"/>
      <c r="DJ78" s="2693"/>
      <c r="DK78" s="2694"/>
      <c r="DL78" s="2693"/>
      <c r="DM78" s="2693"/>
    </row>
    <row r="79" spans="2:117">
      <c r="B79" s="1916">
        <f t="shared" si="116"/>
        <v>2.1</v>
      </c>
      <c r="C79" s="1938" t="str">
        <f t="shared" si="93"/>
        <v>耐震･免震・制震・制振</v>
      </c>
      <c r="D79" s="1935" t="e">
        <f>IF(I$78=0,0,G79/I$78)</f>
        <v>#DIV/0!</v>
      </c>
      <c r="E79" s="1936" t="e">
        <f>IF(J$78=0,0,H79/J$78)</f>
        <v>#DIV/0!</v>
      </c>
      <c r="G79" s="1936" t="e">
        <f t="shared" si="98"/>
        <v>#DIV/0!</v>
      </c>
      <c r="H79" s="1936" t="e">
        <f t="shared" si="99"/>
        <v>#DIV/0!</v>
      </c>
      <c r="I79" s="1936" t="e">
        <f>SUM(G80:G81)</f>
        <v>#DIV/0!</v>
      </c>
      <c r="J79" s="1936" t="e">
        <f>SUM(H80:H81)</f>
        <v>#DIV/0!</v>
      </c>
      <c r="K79" s="1936" t="e">
        <f>IF(スコア!O79=0,0,1)</f>
        <v>#DIV/0!</v>
      </c>
      <c r="L79" s="1936" t="e">
        <f>IF(スコア!R79=0,0,1)</f>
        <v>#DIV/0!</v>
      </c>
      <c r="M79" s="1936" t="e">
        <f t="shared" si="100"/>
        <v>#DIV/0!</v>
      </c>
      <c r="N79" s="1936" t="e">
        <f t="shared" si="101"/>
        <v>#DIV/0!</v>
      </c>
      <c r="P79" s="1937">
        <f t="shared" si="94"/>
        <v>2.1</v>
      </c>
      <c r="Q79" s="1937" t="str">
        <f t="shared" si="95"/>
        <v xml:space="preserve"> Q2 2</v>
      </c>
      <c r="R79" s="1938" t="str">
        <f t="shared" si="96"/>
        <v>耐震･免震・制震・制振</v>
      </c>
      <c r="S79" s="2799">
        <f t="shared" si="74"/>
        <v>0.5</v>
      </c>
      <c r="T79" s="2799">
        <f t="shared" si="75"/>
        <v>0.5</v>
      </c>
      <c r="U79" s="2799">
        <f t="shared" si="76"/>
        <v>0.5</v>
      </c>
      <c r="V79" s="2799">
        <f t="shared" si="77"/>
        <v>0.5</v>
      </c>
      <c r="W79" s="2799">
        <f t="shared" si="78"/>
        <v>0.5</v>
      </c>
      <c r="X79" s="2799">
        <f t="shared" si="79"/>
        <v>0.5</v>
      </c>
      <c r="Y79" s="2799">
        <f t="shared" si="80"/>
        <v>0.5</v>
      </c>
      <c r="Z79" s="2801">
        <f t="shared" si="81"/>
        <v>0.5</v>
      </c>
      <c r="AA79" s="2799">
        <f t="shared" si="82"/>
        <v>0.5</v>
      </c>
      <c r="AB79" s="2799">
        <f t="shared" si="83"/>
        <v>0.5</v>
      </c>
      <c r="AC79" s="2800">
        <f t="shared" si="84"/>
        <v>0</v>
      </c>
      <c r="AD79" s="2799">
        <f t="shared" si="85"/>
        <v>0</v>
      </c>
      <c r="AE79" s="2799">
        <f t="shared" si="86"/>
        <v>0</v>
      </c>
      <c r="AG79" s="1937">
        <v>2.1</v>
      </c>
      <c r="AH79" s="1941" t="s">
        <v>2065</v>
      </c>
      <c r="AI79" s="1938" t="s">
        <v>2215</v>
      </c>
      <c r="AJ79" s="1939">
        <v>0.25</v>
      </c>
      <c r="AK79" s="1939">
        <v>0.25</v>
      </c>
      <c r="AL79" s="1939">
        <v>0.25</v>
      </c>
      <c r="AM79" s="1939">
        <v>0.25</v>
      </c>
      <c r="AN79" s="1939">
        <v>0.25</v>
      </c>
      <c r="AO79" s="1939">
        <v>0.25</v>
      </c>
      <c r="AP79" s="1939">
        <v>0.25</v>
      </c>
      <c r="AQ79" s="1948">
        <v>0.25</v>
      </c>
      <c r="AR79" s="1939">
        <v>0.25</v>
      </c>
      <c r="AS79" s="1944">
        <v>0.25</v>
      </c>
      <c r="AT79" s="1945">
        <v>0</v>
      </c>
      <c r="AU79" s="1944">
        <v>0</v>
      </c>
      <c r="AV79" s="1944">
        <v>0</v>
      </c>
      <c r="AX79" s="1937">
        <v>2.1</v>
      </c>
      <c r="AY79" s="1941" t="s">
        <v>2065</v>
      </c>
      <c r="AZ79" s="1938" t="s">
        <v>2042</v>
      </c>
      <c r="BA79" s="1944">
        <v>0.5</v>
      </c>
      <c r="BB79" s="1944">
        <v>0.5</v>
      </c>
      <c r="BC79" s="1944">
        <v>0.5</v>
      </c>
      <c r="BD79" s="1944">
        <v>0.5</v>
      </c>
      <c r="BE79" s="1944">
        <v>0.5</v>
      </c>
      <c r="BF79" s="1944">
        <v>0.5</v>
      </c>
      <c r="BG79" s="1944">
        <v>0.5</v>
      </c>
      <c r="BH79" s="1951">
        <v>0.5</v>
      </c>
      <c r="BI79" s="1944">
        <v>0.5</v>
      </c>
      <c r="BJ79" s="1944">
        <v>0.5</v>
      </c>
      <c r="BK79" s="1945"/>
      <c r="BL79" s="1944"/>
      <c r="BM79" s="1944"/>
      <c r="BO79" s="1937">
        <v>2.1</v>
      </c>
      <c r="BP79" s="1941" t="s">
        <v>2065</v>
      </c>
      <c r="BQ79" s="1938" t="s">
        <v>3377</v>
      </c>
      <c r="BR79" s="1944">
        <v>0.5</v>
      </c>
      <c r="BS79" s="1944">
        <v>0.5</v>
      </c>
      <c r="BT79" s="1944">
        <v>0.5</v>
      </c>
      <c r="BU79" s="1944">
        <v>0.5</v>
      </c>
      <c r="BV79" s="1944">
        <v>0.5</v>
      </c>
      <c r="BW79" s="1944">
        <v>0.5</v>
      </c>
      <c r="BX79" s="1944">
        <v>0.5</v>
      </c>
      <c r="BY79" s="1951">
        <v>0.5</v>
      </c>
      <c r="BZ79" s="1944">
        <v>0.5</v>
      </c>
      <c r="CA79" s="1944">
        <v>0.5</v>
      </c>
      <c r="CB79" s="1945"/>
      <c r="CC79" s="1944"/>
      <c r="CD79" s="1944"/>
      <c r="CE79" s="2272"/>
      <c r="CG79" s="1937">
        <v>2.1</v>
      </c>
      <c r="CH79" s="1941" t="s">
        <v>2065</v>
      </c>
      <c r="CI79" s="1938" t="s">
        <v>3377</v>
      </c>
      <c r="CJ79" s="2695">
        <v>0.9</v>
      </c>
      <c r="CK79" s="2695">
        <v>0.9</v>
      </c>
      <c r="CL79" s="2695">
        <v>0.9</v>
      </c>
      <c r="CM79" s="2695">
        <v>0.9</v>
      </c>
      <c r="CN79" s="2695">
        <v>0.9</v>
      </c>
      <c r="CO79" s="2695">
        <v>0.9</v>
      </c>
      <c r="CP79" s="2695">
        <v>0.9</v>
      </c>
      <c r="CQ79" s="2695">
        <v>0.9</v>
      </c>
      <c r="CR79" s="2695">
        <v>0.9</v>
      </c>
      <c r="CS79" s="2695">
        <v>0.9</v>
      </c>
      <c r="CT79" s="2708">
        <f t="shared" si="111"/>
        <v>0</v>
      </c>
      <c r="CU79" s="2706">
        <f t="shared" si="112"/>
        <v>0</v>
      </c>
      <c r="CV79" s="2706">
        <f t="shared" si="113"/>
        <v>0</v>
      </c>
      <c r="CX79" s="1937">
        <v>2.1</v>
      </c>
      <c r="CY79" s="1941" t="s">
        <v>2065</v>
      </c>
      <c r="CZ79" s="1938" t="s">
        <v>3377</v>
      </c>
      <c r="DA79" s="2924">
        <v>0.4</v>
      </c>
      <c r="DB79" s="2695"/>
      <c r="DC79" s="2695"/>
      <c r="DD79" s="2695"/>
      <c r="DE79" s="2695"/>
      <c r="DF79" s="2695"/>
      <c r="DG79" s="2695"/>
      <c r="DH79" s="2695"/>
      <c r="DI79" s="2695"/>
      <c r="DJ79" s="2695"/>
      <c r="DK79" s="2905"/>
      <c r="DL79" s="2695"/>
      <c r="DM79" s="2695"/>
    </row>
    <row r="80" spans="2:117">
      <c r="B80" s="1916" t="str">
        <f t="shared" si="116"/>
        <v>2.1.1</v>
      </c>
      <c r="C80" s="1938" t="str">
        <f t="shared" si="93"/>
        <v>耐震性</v>
      </c>
      <c r="D80" s="1926" t="e">
        <f>IF(I$79&gt;0,G80/I$79,0)</f>
        <v>#DIV/0!</v>
      </c>
      <c r="E80" s="1936" t="e">
        <f>IF(J$79&gt;0,H80/J$79,0)</f>
        <v>#DIV/0!</v>
      </c>
      <c r="G80" s="1936" t="e">
        <f t="shared" si="98"/>
        <v>#DIV/0!</v>
      </c>
      <c r="H80" s="1936" t="e">
        <f t="shared" si="99"/>
        <v>#DIV/0!</v>
      </c>
      <c r="I80" s="1936"/>
      <c r="J80" s="1936"/>
      <c r="K80" s="1936">
        <f>IF(スコア!O80=0,0,1)</f>
        <v>1</v>
      </c>
      <c r="L80" s="1936">
        <f>IF(スコア!R80=0,0,1)</f>
        <v>0</v>
      </c>
      <c r="M80" s="1936" t="e">
        <f t="shared" si="100"/>
        <v>#DIV/0!</v>
      </c>
      <c r="N80" s="1936" t="e">
        <f t="shared" si="101"/>
        <v>#DIV/0!</v>
      </c>
      <c r="P80" s="1937" t="str">
        <f t="shared" si="94"/>
        <v>2.1.1</v>
      </c>
      <c r="Q80" s="1937" t="str">
        <f t="shared" si="95"/>
        <v xml:space="preserve"> Q2 2.1</v>
      </c>
      <c r="R80" s="1938" t="str">
        <f t="shared" si="96"/>
        <v>耐震性</v>
      </c>
      <c r="S80" s="2799">
        <f t="shared" si="74"/>
        <v>0.8</v>
      </c>
      <c r="T80" s="2799">
        <f t="shared" si="75"/>
        <v>0.8</v>
      </c>
      <c r="U80" s="2799">
        <f t="shared" si="76"/>
        <v>0.8</v>
      </c>
      <c r="V80" s="2799">
        <f t="shared" si="77"/>
        <v>0.8</v>
      </c>
      <c r="W80" s="2799">
        <f t="shared" si="78"/>
        <v>0.8</v>
      </c>
      <c r="X80" s="2799">
        <f t="shared" si="79"/>
        <v>0.8</v>
      </c>
      <c r="Y80" s="2799">
        <f t="shared" si="80"/>
        <v>0.8</v>
      </c>
      <c r="Z80" s="2801">
        <f t="shared" si="81"/>
        <v>0.8</v>
      </c>
      <c r="AA80" s="2799">
        <f t="shared" si="82"/>
        <v>0.8</v>
      </c>
      <c r="AB80" s="2799">
        <f t="shared" si="83"/>
        <v>0.8</v>
      </c>
      <c r="AC80" s="2800">
        <f t="shared" si="84"/>
        <v>0</v>
      </c>
      <c r="AD80" s="2799">
        <f t="shared" si="85"/>
        <v>0</v>
      </c>
      <c r="AE80" s="2799">
        <f t="shared" si="86"/>
        <v>0</v>
      </c>
      <c r="AG80" s="1937" t="s">
        <v>2731</v>
      </c>
      <c r="AH80" s="1941" t="s">
        <v>2066</v>
      </c>
      <c r="AI80" s="1942" t="s">
        <v>2067</v>
      </c>
      <c r="AJ80" s="1939">
        <v>0.8</v>
      </c>
      <c r="AK80" s="1939">
        <v>0.8</v>
      </c>
      <c r="AL80" s="1939">
        <v>0.8</v>
      </c>
      <c r="AM80" s="1939">
        <v>0.8</v>
      </c>
      <c r="AN80" s="1939">
        <v>0.8</v>
      </c>
      <c r="AO80" s="1939">
        <v>0.8</v>
      </c>
      <c r="AP80" s="1939">
        <v>0.8</v>
      </c>
      <c r="AQ80" s="1948">
        <v>0.8</v>
      </c>
      <c r="AR80" s="1939">
        <v>0.8</v>
      </c>
      <c r="AS80" s="1944">
        <v>0.8</v>
      </c>
      <c r="AT80" s="1945">
        <v>0</v>
      </c>
      <c r="AU80" s="1944">
        <v>0</v>
      </c>
      <c r="AV80" s="1944">
        <v>0</v>
      </c>
      <c r="AX80" s="1937" t="s">
        <v>2731</v>
      </c>
      <c r="AY80" s="1941" t="s">
        <v>2066</v>
      </c>
      <c r="AZ80" s="1942" t="s">
        <v>2067</v>
      </c>
      <c r="BA80" s="1944">
        <v>0.8</v>
      </c>
      <c r="BB80" s="1944">
        <v>0.8</v>
      </c>
      <c r="BC80" s="1944">
        <v>0.8</v>
      </c>
      <c r="BD80" s="1944">
        <v>0.8</v>
      </c>
      <c r="BE80" s="1944">
        <v>0.8</v>
      </c>
      <c r="BF80" s="1944">
        <v>0.8</v>
      </c>
      <c r="BG80" s="1944">
        <v>0.8</v>
      </c>
      <c r="BH80" s="1951">
        <v>0.8</v>
      </c>
      <c r="BI80" s="1944">
        <v>0.8</v>
      </c>
      <c r="BJ80" s="1944">
        <v>0.8</v>
      </c>
      <c r="BK80" s="1945"/>
      <c r="BL80" s="1944"/>
      <c r="BM80" s="1944"/>
      <c r="BO80" s="1937" t="s">
        <v>2731</v>
      </c>
      <c r="BP80" s="1941" t="s">
        <v>2066</v>
      </c>
      <c r="BQ80" s="1942" t="s">
        <v>2067</v>
      </c>
      <c r="BR80" s="1944">
        <v>0.8</v>
      </c>
      <c r="BS80" s="1944">
        <v>0.8</v>
      </c>
      <c r="BT80" s="1944">
        <v>0.8</v>
      </c>
      <c r="BU80" s="1944">
        <v>0.8</v>
      </c>
      <c r="BV80" s="1944">
        <v>0.8</v>
      </c>
      <c r="BW80" s="1944">
        <v>0.8</v>
      </c>
      <c r="BX80" s="1944">
        <v>0.8</v>
      </c>
      <c r="BY80" s="1951">
        <v>0.8</v>
      </c>
      <c r="BZ80" s="1944">
        <v>0.8</v>
      </c>
      <c r="CA80" s="1944">
        <v>0.8</v>
      </c>
      <c r="CB80" s="1945"/>
      <c r="CC80" s="1944"/>
      <c r="CD80" s="1944"/>
      <c r="CE80" s="2272"/>
      <c r="CG80" s="1937" t="s">
        <v>265</v>
      </c>
      <c r="CH80" s="1941" t="s">
        <v>2066</v>
      </c>
      <c r="CI80" s="1942" t="s">
        <v>2067</v>
      </c>
      <c r="CJ80" s="2695">
        <v>1</v>
      </c>
      <c r="CK80" s="2695">
        <v>1</v>
      </c>
      <c r="CL80" s="2695">
        <v>1</v>
      </c>
      <c r="CM80" s="2695">
        <v>1</v>
      </c>
      <c r="CN80" s="2695">
        <v>1</v>
      </c>
      <c r="CO80" s="2695">
        <v>1</v>
      </c>
      <c r="CP80" s="2695">
        <v>1</v>
      </c>
      <c r="CQ80" s="2695">
        <v>1</v>
      </c>
      <c r="CR80" s="2695">
        <v>1</v>
      </c>
      <c r="CS80" s="2695">
        <v>1</v>
      </c>
      <c r="CT80" s="2708">
        <f t="shared" si="111"/>
        <v>0</v>
      </c>
      <c r="CU80" s="2706">
        <f t="shared" si="112"/>
        <v>0</v>
      </c>
      <c r="CV80" s="2706">
        <f t="shared" si="113"/>
        <v>0</v>
      </c>
      <c r="CX80" s="1937" t="s">
        <v>265</v>
      </c>
      <c r="CY80" s="1941" t="s">
        <v>2066</v>
      </c>
      <c r="CZ80" s="1942" t="s">
        <v>2067</v>
      </c>
      <c r="DA80" s="2695">
        <f t="shared" si="115"/>
        <v>0.8</v>
      </c>
      <c r="DB80" s="2695"/>
      <c r="DC80" s="2695"/>
      <c r="DD80" s="2695"/>
      <c r="DE80" s="2695"/>
      <c r="DF80" s="2695"/>
      <c r="DG80" s="2695"/>
      <c r="DH80" s="2695"/>
      <c r="DI80" s="2695"/>
      <c r="DJ80" s="2695"/>
      <c r="DK80" s="2905"/>
      <c r="DL80" s="2695"/>
      <c r="DM80" s="2695"/>
    </row>
    <row r="81" spans="2:117">
      <c r="B81" s="1916" t="str">
        <f t="shared" si="116"/>
        <v>2.1.2</v>
      </c>
      <c r="C81" s="1938" t="str">
        <f t="shared" si="93"/>
        <v>免震・制震・制振性能</v>
      </c>
      <c r="D81" s="1926" t="e">
        <f>IF(I$79&gt;0,G81/I$79,0)</f>
        <v>#DIV/0!</v>
      </c>
      <c r="E81" s="1936" t="e">
        <f>IF(J$79&gt;0,H81/J$79,0)</f>
        <v>#DIV/0!</v>
      </c>
      <c r="G81" s="1936" t="e">
        <f t="shared" si="98"/>
        <v>#DIV/0!</v>
      </c>
      <c r="H81" s="1936" t="e">
        <f t="shared" si="99"/>
        <v>#DIV/0!</v>
      </c>
      <c r="I81" s="1936"/>
      <c r="J81" s="1936"/>
      <c r="K81" s="1936">
        <f>IF(スコア!O81=0,0,1)</f>
        <v>1</v>
      </c>
      <c r="L81" s="1936">
        <f>IF(スコア!R81=0,0,1)</f>
        <v>0</v>
      </c>
      <c r="M81" s="1936" t="e">
        <f t="shared" si="100"/>
        <v>#DIV/0!</v>
      </c>
      <c r="N81" s="1936" t="e">
        <f t="shared" si="101"/>
        <v>#DIV/0!</v>
      </c>
      <c r="P81" s="1937" t="str">
        <f t="shared" si="94"/>
        <v>2.1.2</v>
      </c>
      <c r="Q81" s="1937" t="str">
        <f t="shared" si="95"/>
        <v xml:space="preserve"> Q2 2.1</v>
      </c>
      <c r="R81" s="1938" t="str">
        <f t="shared" si="96"/>
        <v>免震・制震・制振性能</v>
      </c>
      <c r="S81" s="2799">
        <f t="shared" si="74"/>
        <v>0.2</v>
      </c>
      <c r="T81" s="2799">
        <f t="shared" si="75"/>
        <v>0.2</v>
      </c>
      <c r="U81" s="2799">
        <f t="shared" si="76"/>
        <v>0.2</v>
      </c>
      <c r="V81" s="2799">
        <f t="shared" si="77"/>
        <v>0.2</v>
      </c>
      <c r="W81" s="2799">
        <f t="shared" si="78"/>
        <v>0.2</v>
      </c>
      <c r="X81" s="2799">
        <f t="shared" si="79"/>
        <v>0.2</v>
      </c>
      <c r="Y81" s="2799">
        <f t="shared" si="80"/>
        <v>0.2</v>
      </c>
      <c r="Z81" s="2801">
        <f t="shared" si="81"/>
        <v>0.2</v>
      </c>
      <c r="AA81" s="2799">
        <f t="shared" si="82"/>
        <v>0.2</v>
      </c>
      <c r="AB81" s="2799">
        <f t="shared" si="83"/>
        <v>0.2</v>
      </c>
      <c r="AC81" s="2800">
        <f t="shared" si="84"/>
        <v>0</v>
      </c>
      <c r="AD81" s="2799">
        <f t="shared" si="85"/>
        <v>0</v>
      </c>
      <c r="AE81" s="2799">
        <f t="shared" si="86"/>
        <v>0</v>
      </c>
      <c r="AG81" s="1937" t="s">
        <v>2732</v>
      </c>
      <c r="AH81" s="1941" t="s">
        <v>2066</v>
      </c>
      <c r="AI81" s="1942" t="s">
        <v>2068</v>
      </c>
      <c r="AJ81" s="1939">
        <v>0.2</v>
      </c>
      <c r="AK81" s="1939">
        <v>0.2</v>
      </c>
      <c r="AL81" s="1939">
        <v>0.2</v>
      </c>
      <c r="AM81" s="1939">
        <v>0.2</v>
      </c>
      <c r="AN81" s="1939">
        <v>0.2</v>
      </c>
      <c r="AO81" s="1939">
        <v>0.2</v>
      </c>
      <c r="AP81" s="1939">
        <v>0.2</v>
      </c>
      <c r="AQ81" s="1948">
        <v>0.2</v>
      </c>
      <c r="AR81" s="1939">
        <v>0.2</v>
      </c>
      <c r="AS81" s="1944">
        <v>0.2</v>
      </c>
      <c r="AT81" s="1945">
        <v>0</v>
      </c>
      <c r="AU81" s="1944">
        <v>0</v>
      </c>
      <c r="AV81" s="1944">
        <v>0</v>
      </c>
      <c r="AX81" s="1937" t="s">
        <v>2733</v>
      </c>
      <c r="AY81" s="1941" t="s">
        <v>2066</v>
      </c>
      <c r="AZ81" s="1942" t="s">
        <v>2043</v>
      </c>
      <c r="BA81" s="1944">
        <v>0.2</v>
      </c>
      <c r="BB81" s="1944">
        <v>0.2</v>
      </c>
      <c r="BC81" s="1944">
        <v>0.2</v>
      </c>
      <c r="BD81" s="1944">
        <v>0.2</v>
      </c>
      <c r="BE81" s="1944">
        <v>0.2</v>
      </c>
      <c r="BF81" s="1944">
        <v>0.2</v>
      </c>
      <c r="BG81" s="1944">
        <v>0.2</v>
      </c>
      <c r="BH81" s="1951">
        <v>0.2</v>
      </c>
      <c r="BI81" s="1944">
        <v>0.2</v>
      </c>
      <c r="BJ81" s="1944">
        <v>0.2</v>
      </c>
      <c r="BK81" s="1945"/>
      <c r="BL81" s="1944"/>
      <c r="BM81" s="1944"/>
      <c r="BO81" s="1937" t="s">
        <v>2733</v>
      </c>
      <c r="BP81" s="1941" t="s">
        <v>2066</v>
      </c>
      <c r="BQ81" s="1942" t="s">
        <v>3378</v>
      </c>
      <c r="BR81" s="1944">
        <v>0.2</v>
      </c>
      <c r="BS81" s="1944">
        <v>0.2</v>
      </c>
      <c r="BT81" s="1944">
        <v>0.2</v>
      </c>
      <c r="BU81" s="1944">
        <v>0.2</v>
      </c>
      <c r="BV81" s="1944">
        <v>0.2</v>
      </c>
      <c r="BW81" s="1944">
        <v>0.2</v>
      </c>
      <c r="BX81" s="1944">
        <v>0.2</v>
      </c>
      <c r="BY81" s="1951">
        <v>0.2</v>
      </c>
      <c r="BZ81" s="1944">
        <v>0.2</v>
      </c>
      <c r="CA81" s="1944">
        <v>0.2</v>
      </c>
      <c r="CB81" s="1945"/>
      <c r="CC81" s="1944"/>
      <c r="CD81" s="1944"/>
      <c r="CE81" s="2272"/>
      <c r="CG81" s="1937" t="s">
        <v>2732</v>
      </c>
      <c r="CH81" s="1941" t="s">
        <v>2066</v>
      </c>
      <c r="CI81" s="1942" t="s">
        <v>3378</v>
      </c>
      <c r="CJ81" s="2706">
        <v>0</v>
      </c>
      <c r="CK81" s="2706">
        <v>0</v>
      </c>
      <c r="CL81" s="2706">
        <v>0</v>
      </c>
      <c r="CM81" s="2706">
        <v>0</v>
      </c>
      <c r="CN81" s="2706">
        <v>0</v>
      </c>
      <c r="CO81" s="2706">
        <v>0</v>
      </c>
      <c r="CP81" s="2706">
        <v>0</v>
      </c>
      <c r="CQ81" s="2706">
        <v>0</v>
      </c>
      <c r="CR81" s="2706">
        <v>0</v>
      </c>
      <c r="CS81" s="2706">
        <v>0</v>
      </c>
      <c r="CT81" s="2708">
        <f t="shared" si="111"/>
        <v>0</v>
      </c>
      <c r="CU81" s="2706">
        <f t="shared" si="112"/>
        <v>0</v>
      </c>
      <c r="CV81" s="2706">
        <f t="shared" si="113"/>
        <v>0</v>
      </c>
      <c r="CX81" s="1937" t="s">
        <v>2732</v>
      </c>
      <c r="CY81" s="1941" t="s">
        <v>2066</v>
      </c>
      <c r="CZ81" s="1942" t="s">
        <v>3378</v>
      </c>
      <c r="DA81" s="2695">
        <f t="shared" si="115"/>
        <v>0.2</v>
      </c>
      <c r="DB81" s="2695"/>
      <c r="DC81" s="2695"/>
      <c r="DD81" s="2695"/>
      <c r="DE81" s="2695"/>
      <c r="DF81" s="2695"/>
      <c r="DG81" s="2695"/>
      <c r="DH81" s="2695"/>
      <c r="DI81" s="2695"/>
      <c r="DJ81" s="2695"/>
      <c r="DK81" s="2905"/>
      <c r="DL81" s="2695"/>
      <c r="DM81" s="2695"/>
    </row>
    <row r="82" spans="2:117">
      <c r="B82" s="1916">
        <f t="shared" si="116"/>
        <v>2.2000000000000002</v>
      </c>
      <c r="C82" s="1938" t="str">
        <f t="shared" si="93"/>
        <v>部品・部材の耐用年数</v>
      </c>
      <c r="D82" s="1935" t="e">
        <f>IF(I$78=0,0,G82/I$78)</f>
        <v>#DIV/0!</v>
      </c>
      <c r="E82" s="1936" t="e">
        <f>IF(J$78=0,0,H82/J$78)</f>
        <v>#DIV/0!</v>
      </c>
      <c r="G82" s="1936" t="e">
        <f t="shared" si="98"/>
        <v>#DIV/0!</v>
      </c>
      <c r="H82" s="1936" t="e">
        <f t="shared" si="99"/>
        <v>#DIV/0!</v>
      </c>
      <c r="I82" s="1936" t="e">
        <f>SUM(G83:G88)</f>
        <v>#DIV/0!</v>
      </c>
      <c r="J82" s="1936" t="e">
        <f>SUM(H83:H88)</f>
        <v>#DIV/0!</v>
      </c>
      <c r="K82" s="1936" t="e">
        <f>IF(スコア!O82=0,0,1)</f>
        <v>#DIV/0!</v>
      </c>
      <c r="L82" s="1936" t="e">
        <f>IF(スコア!R82=0,0,1)</f>
        <v>#DIV/0!</v>
      </c>
      <c r="M82" s="1936" t="e">
        <f t="shared" si="100"/>
        <v>#DIV/0!</v>
      </c>
      <c r="N82" s="1936" t="e">
        <f t="shared" si="101"/>
        <v>#DIV/0!</v>
      </c>
      <c r="P82" s="1937">
        <f t="shared" si="94"/>
        <v>2.2000000000000002</v>
      </c>
      <c r="Q82" s="1937" t="str">
        <f t="shared" si="95"/>
        <v xml:space="preserve"> Q2 2</v>
      </c>
      <c r="R82" s="1938" t="str">
        <f t="shared" si="96"/>
        <v>部品・部材の耐用年数</v>
      </c>
      <c r="S82" s="2799">
        <f t="shared" si="74"/>
        <v>0.3</v>
      </c>
      <c r="T82" s="2799">
        <f t="shared" si="75"/>
        <v>0.3</v>
      </c>
      <c r="U82" s="2799">
        <f t="shared" si="76"/>
        <v>0.3</v>
      </c>
      <c r="V82" s="2799">
        <f t="shared" si="77"/>
        <v>0.3</v>
      </c>
      <c r="W82" s="2799">
        <f t="shared" si="78"/>
        <v>0.3</v>
      </c>
      <c r="X82" s="2799">
        <f t="shared" si="79"/>
        <v>0.3</v>
      </c>
      <c r="Y82" s="2799">
        <f t="shared" si="80"/>
        <v>0.3</v>
      </c>
      <c r="Z82" s="2801">
        <f t="shared" si="81"/>
        <v>0.3</v>
      </c>
      <c r="AA82" s="2799">
        <f t="shared" si="82"/>
        <v>0.3</v>
      </c>
      <c r="AB82" s="2799">
        <f t="shared" si="83"/>
        <v>0.3</v>
      </c>
      <c r="AC82" s="2800">
        <f t="shared" si="84"/>
        <v>0</v>
      </c>
      <c r="AD82" s="2799">
        <f t="shared" si="85"/>
        <v>0</v>
      </c>
      <c r="AE82" s="2799">
        <f t="shared" si="86"/>
        <v>0</v>
      </c>
      <c r="AG82" s="1937">
        <v>2.2000000000000002</v>
      </c>
      <c r="AH82" s="1941" t="s">
        <v>2065</v>
      </c>
      <c r="AI82" s="1938" t="s">
        <v>2216</v>
      </c>
      <c r="AJ82" s="1939">
        <v>0.25</v>
      </c>
      <c r="AK82" s="1939">
        <v>0.25</v>
      </c>
      <c r="AL82" s="1939">
        <v>0.25</v>
      </c>
      <c r="AM82" s="1939">
        <v>0.25</v>
      </c>
      <c r="AN82" s="1939">
        <v>0.25</v>
      </c>
      <c r="AO82" s="1939">
        <v>0.25</v>
      </c>
      <c r="AP82" s="1939">
        <v>0.25</v>
      </c>
      <c r="AQ82" s="1948">
        <v>0.25</v>
      </c>
      <c r="AR82" s="1939">
        <v>0.25</v>
      </c>
      <c r="AS82" s="1944">
        <v>0.25</v>
      </c>
      <c r="AT82" s="1945">
        <v>0</v>
      </c>
      <c r="AU82" s="1944">
        <v>0</v>
      </c>
      <c r="AV82" s="1944">
        <v>0</v>
      </c>
      <c r="AX82" s="1937">
        <v>2.2000000000000002</v>
      </c>
      <c r="AY82" s="1941" t="s">
        <v>2065</v>
      </c>
      <c r="AZ82" s="1938" t="s">
        <v>2044</v>
      </c>
      <c r="BA82" s="1944">
        <v>0.3</v>
      </c>
      <c r="BB82" s="1944">
        <v>0.3</v>
      </c>
      <c r="BC82" s="1944">
        <v>0.3</v>
      </c>
      <c r="BD82" s="1944">
        <v>0.3</v>
      </c>
      <c r="BE82" s="1944">
        <v>0.3</v>
      </c>
      <c r="BF82" s="1944">
        <v>0.3</v>
      </c>
      <c r="BG82" s="1944">
        <v>0.3</v>
      </c>
      <c r="BH82" s="1951">
        <v>0.3</v>
      </c>
      <c r="BI82" s="1944">
        <v>0.3</v>
      </c>
      <c r="BJ82" s="1944">
        <v>0.3</v>
      </c>
      <c r="BK82" s="1945"/>
      <c r="BL82" s="1944"/>
      <c r="BM82" s="1944"/>
      <c r="BO82" s="1937">
        <v>2.2000000000000002</v>
      </c>
      <c r="BP82" s="1941" t="s">
        <v>2065</v>
      </c>
      <c r="BQ82" s="1938" t="s">
        <v>2216</v>
      </c>
      <c r="BR82" s="1944">
        <v>0.3</v>
      </c>
      <c r="BS82" s="1944">
        <v>0.3</v>
      </c>
      <c r="BT82" s="1944">
        <v>0.3</v>
      </c>
      <c r="BU82" s="1944">
        <v>0.3</v>
      </c>
      <c r="BV82" s="1944">
        <v>0.3</v>
      </c>
      <c r="BW82" s="1944">
        <v>0.3</v>
      </c>
      <c r="BX82" s="1944">
        <v>0.3</v>
      </c>
      <c r="BY82" s="1951">
        <v>0.3</v>
      </c>
      <c r="BZ82" s="1944">
        <v>0.3</v>
      </c>
      <c r="CA82" s="1944">
        <v>0.3</v>
      </c>
      <c r="CB82" s="1945"/>
      <c r="CC82" s="1944"/>
      <c r="CD82" s="1944"/>
      <c r="CE82" s="2272"/>
      <c r="CG82" s="1937">
        <v>2.2000000000000002</v>
      </c>
      <c r="CH82" s="1941" t="s">
        <v>2065</v>
      </c>
      <c r="CI82" s="1938" t="s">
        <v>2216</v>
      </c>
      <c r="CJ82" s="2706">
        <v>0</v>
      </c>
      <c r="CK82" s="2706">
        <v>0</v>
      </c>
      <c r="CL82" s="2706">
        <v>0</v>
      </c>
      <c r="CM82" s="2706">
        <v>0</v>
      </c>
      <c r="CN82" s="2706">
        <v>0</v>
      </c>
      <c r="CO82" s="2706">
        <v>0</v>
      </c>
      <c r="CP82" s="2706">
        <v>0</v>
      </c>
      <c r="CQ82" s="2706">
        <v>0</v>
      </c>
      <c r="CR82" s="2706">
        <v>0</v>
      </c>
      <c r="CS82" s="2706">
        <v>0</v>
      </c>
      <c r="CT82" s="2708">
        <f t="shared" si="111"/>
        <v>0</v>
      </c>
      <c r="CU82" s="2706">
        <f t="shared" si="112"/>
        <v>0</v>
      </c>
      <c r="CV82" s="2706">
        <f t="shared" si="113"/>
        <v>0</v>
      </c>
      <c r="CX82" s="1937">
        <v>2.2000000000000002</v>
      </c>
      <c r="CY82" s="1941" t="s">
        <v>2065</v>
      </c>
      <c r="CZ82" s="1938" t="s">
        <v>2216</v>
      </c>
      <c r="DA82" s="2924">
        <v>0</v>
      </c>
      <c r="DB82" s="2695"/>
      <c r="DC82" s="2695"/>
      <c r="DD82" s="2695"/>
      <c r="DE82" s="2695"/>
      <c r="DF82" s="2695"/>
      <c r="DG82" s="2695"/>
      <c r="DH82" s="2695"/>
      <c r="DI82" s="2695"/>
      <c r="DJ82" s="2695"/>
      <c r="DK82" s="2905"/>
      <c r="DL82" s="2695"/>
      <c r="DM82" s="2695"/>
    </row>
    <row r="83" spans="2:117">
      <c r="B83" s="1916" t="str">
        <f t="shared" si="116"/>
        <v>2.2.1</v>
      </c>
      <c r="C83" s="1938" t="str">
        <f t="shared" si="93"/>
        <v>躯体材料の耐用年数</v>
      </c>
      <c r="D83" s="1926" t="e">
        <f t="shared" ref="D83:E88" si="117">IF(I$82&gt;0,G83/I$82,0)</f>
        <v>#DIV/0!</v>
      </c>
      <c r="E83" s="1936" t="e">
        <f t="shared" si="117"/>
        <v>#DIV/0!</v>
      </c>
      <c r="G83" s="1936" t="e">
        <f t="shared" si="98"/>
        <v>#DIV/0!</v>
      </c>
      <c r="H83" s="1936" t="e">
        <f t="shared" si="99"/>
        <v>#DIV/0!</v>
      </c>
      <c r="I83" s="1936"/>
      <c r="J83" s="1936"/>
      <c r="K83" s="1936">
        <f>IF(スコア!O83=0,0,1)</f>
        <v>1</v>
      </c>
      <c r="L83" s="1936">
        <f>IF(スコア!R83=0,0,1)</f>
        <v>0</v>
      </c>
      <c r="M83" s="1936" t="e">
        <f t="shared" si="100"/>
        <v>#DIV/0!</v>
      </c>
      <c r="N83" s="1936" t="e">
        <f t="shared" si="101"/>
        <v>#DIV/0!</v>
      </c>
      <c r="P83" s="1937" t="str">
        <f t="shared" si="94"/>
        <v>2.2.1</v>
      </c>
      <c r="Q83" s="1937" t="str">
        <f t="shared" si="95"/>
        <v xml:space="preserve"> Q2 2.2</v>
      </c>
      <c r="R83" s="1938" t="str">
        <f t="shared" si="96"/>
        <v>躯体材料の耐用年数</v>
      </c>
      <c r="S83" s="2799">
        <f t="shared" si="74"/>
        <v>0.2</v>
      </c>
      <c r="T83" s="2799">
        <f t="shared" si="75"/>
        <v>0.2</v>
      </c>
      <c r="U83" s="2799">
        <f t="shared" si="76"/>
        <v>0.2</v>
      </c>
      <c r="V83" s="2799">
        <f t="shared" si="77"/>
        <v>0.2</v>
      </c>
      <c r="W83" s="2799">
        <f t="shared" si="78"/>
        <v>0.2</v>
      </c>
      <c r="X83" s="2799">
        <f t="shared" si="79"/>
        <v>0.2</v>
      </c>
      <c r="Y83" s="2799">
        <f t="shared" si="80"/>
        <v>0.2</v>
      </c>
      <c r="Z83" s="2801">
        <f t="shared" si="81"/>
        <v>0.2</v>
      </c>
      <c r="AA83" s="2799">
        <f t="shared" si="82"/>
        <v>0.2</v>
      </c>
      <c r="AB83" s="2799">
        <f t="shared" si="83"/>
        <v>0.2</v>
      </c>
      <c r="AC83" s="2800">
        <f t="shared" si="84"/>
        <v>0</v>
      </c>
      <c r="AD83" s="2799">
        <f t="shared" si="85"/>
        <v>0</v>
      </c>
      <c r="AE83" s="2799">
        <f t="shared" si="86"/>
        <v>0</v>
      </c>
      <c r="AG83" s="1937" t="s">
        <v>2734</v>
      </c>
      <c r="AH83" s="1941" t="s">
        <v>2069</v>
      </c>
      <c r="AI83" s="1942" t="s">
        <v>786</v>
      </c>
      <c r="AJ83" s="1940">
        <v>0.2</v>
      </c>
      <c r="AK83" s="1940">
        <v>0.2</v>
      </c>
      <c r="AL83" s="1940">
        <v>0.2</v>
      </c>
      <c r="AM83" s="1940">
        <v>0.2</v>
      </c>
      <c r="AN83" s="1940">
        <v>0.2</v>
      </c>
      <c r="AO83" s="1940">
        <v>0.2</v>
      </c>
      <c r="AP83" s="1940">
        <v>0.2</v>
      </c>
      <c r="AQ83" s="1940">
        <v>0.2</v>
      </c>
      <c r="AR83" s="1940">
        <v>0.2</v>
      </c>
      <c r="AS83" s="1944">
        <v>0.25</v>
      </c>
      <c r="AT83" s="1945">
        <v>0</v>
      </c>
      <c r="AU83" s="1944">
        <v>0</v>
      </c>
      <c r="AV83" s="1944">
        <v>0</v>
      </c>
      <c r="AX83" s="1937" t="s">
        <v>2735</v>
      </c>
      <c r="AY83" s="1941" t="s">
        <v>2069</v>
      </c>
      <c r="AZ83" s="1942" t="s">
        <v>2045</v>
      </c>
      <c r="BA83" s="1944">
        <v>0.2</v>
      </c>
      <c r="BB83" s="1944">
        <v>0.2</v>
      </c>
      <c r="BC83" s="1944">
        <v>0.2</v>
      </c>
      <c r="BD83" s="1944">
        <v>0.2</v>
      </c>
      <c r="BE83" s="1944">
        <v>0.2</v>
      </c>
      <c r="BF83" s="1944">
        <v>0.2</v>
      </c>
      <c r="BG83" s="1944">
        <v>0.2</v>
      </c>
      <c r="BH83" s="1944">
        <v>0.2</v>
      </c>
      <c r="BI83" s="1944">
        <v>0.2</v>
      </c>
      <c r="BJ83" s="1944">
        <v>0.2</v>
      </c>
      <c r="BK83" s="1945"/>
      <c r="BL83" s="1944"/>
      <c r="BM83" s="1944"/>
      <c r="BO83" s="1937" t="s">
        <v>2735</v>
      </c>
      <c r="BP83" s="1941" t="s">
        <v>2069</v>
      </c>
      <c r="BQ83" s="1942" t="s">
        <v>786</v>
      </c>
      <c r="BR83" s="1944">
        <v>0.2</v>
      </c>
      <c r="BS83" s="1944">
        <v>0.2</v>
      </c>
      <c r="BT83" s="1944">
        <v>0.2</v>
      </c>
      <c r="BU83" s="1944">
        <v>0.2</v>
      </c>
      <c r="BV83" s="1944">
        <v>0.2</v>
      </c>
      <c r="BW83" s="1944">
        <v>0.2</v>
      </c>
      <c r="BX83" s="1944">
        <v>0.2</v>
      </c>
      <c r="BY83" s="1944">
        <v>0.2</v>
      </c>
      <c r="BZ83" s="1944">
        <v>0.2</v>
      </c>
      <c r="CA83" s="1944">
        <v>0.2</v>
      </c>
      <c r="CB83" s="1945"/>
      <c r="CC83" s="1944"/>
      <c r="CD83" s="1944"/>
      <c r="CE83" s="2272"/>
      <c r="CG83" s="1937" t="s">
        <v>2734</v>
      </c>
      <c r="CH83" s="1941" t="s">
        <v>2069</v>
      </c>
      <c r="CI83" s="1942" t="s">
        <v>786</v>
      </c>
      <c r="CJ83" s="2706">
        <v>0</v>
      </c>
      <c r="CK83" s="2706">
        <v>0</v>
      </c>
      <c r="CL83" s="2706">
        <v>0</v>
      </c>
      <c r="CM83" s="2706">
        <v>0</v>
      </c>
      <c r="CN83" s="2706">
        <v>0</v>
      </c>
      <c r="CO83" s="2706">
        <v>0</v>
      </c>
      <c r="CP83" s="2706">
        <v>0</v>
      </c>
      <c r="CQ83" s="2706">
        <v>0</v>
      </c>
      <c r="CR83" s="2706">
        <v>0</v>
      </c>
      <c r="CS83" s="2706">
        <v>0</v>
      </c>
      <c r="CT83" s="2706">
        <v>0</v>
      </c>
      <c r="CU83" s="2706">
        <f t="shared" si="112"/>
        <v>0</v>
      </c>
      <c r="CV83" s="2706">
        <f t="shared" si="113"/>
        <v>0</v>
      </c>
      <c r="CX83" s="1937" t="s">
        <v>2734</v>
      </c>
      <c r="CY83" s="1941" t="s">
        <v>2069</v>
      </c>
      <c r="CZ83" s="1942" t="s">
        <v>786</v>
      </c>
      <c r="DA83" s="2924">
        <v>0</v>
      </c>
      <c r="DB83" s="2695"/>
      <c r="DC83" s="2695"/>
      <c r="DD83" s="2695"/>
      <c r="DE83" s="2695"/>
      <c r="DF83" s="2695"/>
      <c r="DG83" s="2695"/>
      <c r="DH83" s="2695"/>
      <c r="DI83" s="2695"/>
      <c r="DJ83" s="2695"/>
      <c r="DK83" s="2695"/>
      <c r="DL83" s="2695"/>
      <c r="DM83" s="2695"/>
    </row>
    <row r="84" spans="2:117">
      <c r="B84" s="1916" t="str">
        <f t="shared" si="116"/>
        <v>2.2.2</v>
      </c>
      <c r="C84" s="1938" t="str">
        <f t="shared" si="93"/>
        <v>外壁仕上げ材の補修必要間隔</v>
      </c>
      <c r="D84" s="1926" t="e">
        <f t="shared" si="117"/>
        <v>#DIV/0!</v>
      </c>
      <c r="E84" s="1936" t="e">
        <f t="shared" si="117"/>
        <v>#DIV/0!</v>
      </c>
      <c r="G84" s="1936" t="e">
        <f t="shared" si="98"/>
        <v>#DIV/0!</v>
      </c>
      <c r="H84" s="1936" t="e">
        <f t="shared" si="99"/>
        <v>#DIV/0!</v>
      </c>
      <c r="I84" s="1936"/>
      <c r="J84" s="1936"/>
      <c r="K84" s="1936">
        <f>IF(スコア!O84=0,0,1)</f>
        <v>1</v>
      </c>
      <c r="L84" s="1936">
        <f>IF(スコア!R84=0,0,1)</f>
        <v>0</v>
      </c>
      <c r="M84" s="1936" t="e">
        <f t="shared" si="100"/>
        <v>#DIV/0!</v>
      </c>
      <c r="N84" s="1936" t="e">
        <f t="shared" si="101"/>
        <v>#DIV/0!</v>
      </c>
      <c r="P84" s="1937" t="str">
        <f t="shared" si="94"/>
        <v>2.2.2</v>
      </c>
      <c r="Q84" s="1937" t="str">
        <f t="shared" si="95"/>
        <v xml:space="preserve"> Q2 2.2</v>
      </c>
      <c r="R84" s="1938" t="str">
        <f t="shared" si="96"/>
        <v>外壁仕上げ材の補修必要間隔</v>
      </c>
      <c r="S84" s="2799">
        <f t="shared" si="74"/>
        <v>0.2</v>
      </c>
      <c r="T84" s="2799">
        <f t="shared" si="75"/>
        <v>0.2</v>
      </c>
      <c r="U84" s="2799">
        <f t="shared" si="76"/>
        <v>0.2</v>
      </c>
      <c r="V84" s="2799">
        <f t="shared" si="77"/>
        <v>0.2</v>
      </c>
      <c r="W84" s="2799">
        <f t="shared" si="78"/>
        <v>0.2</v>
      </c>
      <c r="X84" s="2799">
        <f t="shared" si="79"/>
        <v>0.2</v>
      </c>
      <c r="Y84" s="2799">
        <f t="shared" si="80"/>
        <v>0.2</v>
      </c>
      <c r="Z84" s="2801">
        <f t="shared" si="81"/>
        <v>0.2</v>
      </c>
      <c r="AA84" s="2799">
        <f t="shared" si="82"/>
        <v>0.2</v>
      </c>
      <c r="AB84" s="2799">
        <f t="shared" si="83"/>
        <v>0.2</v>
      </c>
      <c r="AC84" s="2800">
        <f t="shared" si="84"/>
        <v>0</v>
      </c>
      <c r="AD84" s="2799">
        <f t="shared" si="85"/>
        <v>0</v>
      </c>
      <c r="AE84" s="2799">
        <f t="shared" si="86"/>
        <v>0</v>
      </c>
      <c r="AG84" s="1937" t="s">
        <v>2736</v>
      </c>
      <c r="AH84" s="1941" t="s">
        <v>2069</v>
      </c>
      <c r="AI84" s="1942" t="s">
        <v>2070</v>
      </c>
      <c r="AJ84" s="1940">
        <v>0.2</v>
      </c>
      <c r="AK84" s="1940">
        <v>0.2</v>
      </c>
      <c r="AL84" s="1940">
        <v>0.2</v>
      </c>
      <c r="AM84" s="1940">
        <v>0.2</v>
      </c>
      <c r="AN84" s="1940">
        <v>0.2</v>
      </c>
      <c r="AO84" s="1940">
        <v>0.2</v>
      </c>
      <c r="AP84" s="1940">
        <v>0.2</v>
      </c>
      <c r="AQ84" s="1940">
        <v>0.2</v>
      </c>
      <c r="AR84" s="1940">
        <v>0.2</v>
      </c>
      <c r="AS84" s="1944">
        <v>0.25</v>
      </c>
      <c r="AT84" s="1945">
        <v>0</v>
      </c>
      <c r="AU84" s="1944">
        <v>0</v>
      </c>
      <c r="AV84" s="1944">
        <v>0</v>
      </c>
      <c r="AX84" s="1937" t="s">
        <v>2736</v>
      </c>
      <c r="AY84" s="1941" t="s">
        <v>2069</v>
      </c>
      <c r="AZ84" s="1942" t="s">
        <v>2070</v>
      </c>
      <c r="BA84" s="1944">
        <v>0.2</v>
      </c>
      <c r="BB84" s="1944">
        <v>0.2</v>
      </c>
      <c r="BC84" s="1944">
        <v>0.2</v>
      </c>
      <c r="BD84" s="1944">
        <v>0.2</v>
      </c>
      <c r="BE84" s="1944">
        <v>0.2</v>
      </c>
      <c r="BF84" s="1944">
        <v>0.2</v>
      </c>
      <c r="BG84" s="1944">
        <v>0.2</v>
      </c>
      <c r="BH84" s="1944">
        <v>0.2</v>
      </c>
      <c r="BI84" s="1944">
        <v>0.2</v>
      </c>
      <c r="BJ84" s="1944">
        <v>0.2</v>
      </c>
      <c r="BK84" s="1945"/>
      <c r="BL84" s="1944"/>
      <c r="BM84" s="1944"/>
      <c r="BO84" s="1937" t="s">
        <v>2736</v>
      </c>
      <c r="BP84" s="1941" t="s">
        <v>2069</v>
      </c>
      <c r="BQ84" s="1942" t="s">
        <v>2070</v>
      </c>
      <c r="BR84" s="1944">
        <v>0.2</v>
      </c>
      <c r="BS84" s="1944">
        <v>0.2</v>
      </c>
      <c r="BT84" s="1944">
        <v>0.2</v>
      </c>
      <c r="BU84" s="1944">
        <v>0.2</v>
      </c>
      <c r="BV84" s="1944">
        <v>0.2</v>
      </c>
      <c r="BW84" s="1944">
        <v>0.2</v>
      </c>
      <c r="BX84" s="1944">
        <v>0.2</v>
      </c>
      <c r="BY84" s="1944">
        <v>0.2</v>
      </c>
      <c r="BZ84" s="1944">
        <v>0.2</v>
      </c>
      <c r="CA84" s="1944">
        <v>0.2</v>
      </c>
      <c r="CB84" s="1945"/>
      <c r="CC84" s="1944"/>
      <c r="CD84" s="1944"/>
      <c r="CE84" s="2272"/>
      <c r="CG84" s="1937" t="s">
        <v>2736</v>
      </c>
      <c r="CH84" s="1941" t="s">
        <v>2069</v>
      </c>
      <c r="CI84" s="1942" t="s">
        <v>2070</v>
      </c>
      <c r="CJ84" s="2706">
        <v>0</v>
      </c>
      <c r="CK84" s="2706">
        <v>0</v>
      </c>
      <c r="CL84" s="2706">
        <v>0</v>
      </c>
      <c r="CM84" s="2706">
        <v>0</v>
      </c>
      <c r="CN84" s="2706">
        <v>0</v>
      </c>
      <c r="CO84" s="2706">
        <v>0</v>
      </c>
      <c r="CP84" s="2706">
        <v>0</v>
      </c>
      <c r="CQ84" s="2706">
        <v>0</v>
      </c>
      <c r="CR84" s="2706">
        <v>0</v>
      </c>
      <c r="CS84" s="2706">
        <v>0</v>
      </c>
      <c r="CT84" s="2706">
        <v>0</v>
      </c>
      <c r="CU84" s="2706">
        <f t="shared" si="112"/>
        <v>0</v>
      </c>
      <c r="CV84" s="2706">
        <f t="shared" si="113"/>
        <v>0</v>
      </c>
      <c r="CX84" s="1937" t="s">
        <v>2736</v>
      </c>
      <c r="CY84" s="1941" t="s">
        <v>2069</v>
      </c>
      <c r="CZ84" s="1942" t="s">
        <v>2070</v>
      </c>
      <c r="DA84" s="2924">
        <v>0</v>
      </c>
      <c r="DB84" s="2695"/>
      <c r="DC84" s="2695"/>
      <c r="DD84" s="2695"/>
      <c r="DE84" s="2695"/>
      <c r="DF84" s="2695"/>
      <c r="DG84" s="2695"/>
      <c r="DH84" s="2695"/>
      <c r="DI84" s="2695"/>
      <c r="DJ84" s="2695"/>
      <c r="DK84" s="2695"/>
      <c r="DL84" s="2695"/>
      <c r="DM84" s="2695"/>
    </row>
    <row r="85" spans="2:117">
      <c r="B85" s="1916" t="str">
        <f t="shared" si="116"/>
        <v>2.2.3</v>
      </c>
      <c r="C85" s="1938" t="str">
        <f t="shared" si="93"/>
        <v>主要内装仕上げ材の更新必要間隔</v>
      </c>
      <c r="D85" s="1926" t="e">
        <f t="shared" si="117"/>
        <v>#DIV/0!</v>
      </c>
      <c r="E85" s="1936" t="e">
        <f t="shared" si="117"/>
        <v>#DIV/0!</v>
      </c>
      <c r="G85" s="1936" t="e">
        <f t="shared" si="98"/>
        <v>#DIV/0!</v>
      </c>
      <c r="H85" s="1936" t="e">
        <f t="shared" si="99"/>
        <v>#DIV/0!</v>
      </c>
      <c r="I85" s="1936"/>
      <c r="J85" s="1936"/>
      <c r="K85" s="1936">
        <f>IF(スコア!O85=0,0,1)</f>
        <v>1</v>
      </c>
      <c r="L85" s="1936">
        <f>IF(スコア!R85=0,0,1)</f>
        <v>0</v>
      </c>
      <c r="M85" s="1936" t="e">
        <f t="shared" si="100"/>
        <v>#DIV/0!</v>
      </c>
      <c r="N85" s="1936" t="e">
        <f t="shared" si="101"/>
        <v>#DIV/0!</v>
      </c>
      <c r="P85" s="1937" t="str">
        <f t="shared" si="94"/>
        <v>2.2.3</v>
      </c>
      <c r="Q85" s="1937" t="str">
        <f t="shared" si="95"/>
        <v xml:space="preserve"> Q2 2.2</v>
      </c>
      <c r="R85" s="1938" t="str">
        <f t="shared" si="96"/>
        <v>主要内装仕上げ材の更新必要間隔</v>
      </c>
      <c r="S85" s="2799">
        <f t="shared" si="74"/>
        <v>0.1</v>
      </c>
      <c r="T85" s="2799">
        <f t="shared" si="75"/>
        <v>0.1</v>
      </c>
      <c r="U85" s="2799">
        <f t="shared" si="76"/>
        <v>0.1</v>
      </c>
      <c r="V85" s="2799">
        <f t="shared" si="77"/>
        <v>0.1</v>
      </c>
      <c r="W85" s="2799">
        <f t="shared" si="78"/>
        <v>0.1</v>
      </c>
      <c r="X85" s="2799">
        <f t="shared" si="79"/>
        <v>0.1</v>
      </c>
      <c r="Y85" s="2799">
        <f t="shared" si="80"/>
        <v>0.1</v>
      </c>
      <c r="Z85" s="2801">
        <f t="shared" si="81"/>
        <v>0.1</v>
      </c>
      <c r="AA85" s="2799">
        <f t="shared" si="82"/>
        <v>0.1</v>
      </c>
      <c r="AB85" s="2799">
        <f t="shared" si="83"/>
        <v>0.1</v>
      </c>
      <c r="AC85" s="2800">
        <f t="shared" si="84"/>
        <v>0</v>
      </c>
      <c r="AD85" s="2799">
        <f t="shared" si="85"/>
        <v>0</v>
      </c>
      <c r="AE85" s="2799">
        <f t="shared" si="86"/>
        <v>0</v>
      </c>
      <c r="AG85" s="1937" t="s">
        <v>2737</v>
      </c>
      <c r="AH85" s="1941" t="s">
        <v>2069</v>
      </c>
      <c r="AI85" s="1942" t="s">
        <v>2071</v>
      </c>
      <c r="AJ85" s="1949">
        <v>0</v>
      </c>
      <c r="AK85" s="1949">
        <v>0</v>
      </c>
      <c r="AL85" s="1949">
        <v>0</v>
      </c>
      <c r="AM85" s="1949">
        <v>0</v>
      </c>
      <c r="AN85" s="1949">
        <v>0</v>
      </c>
      <c r="AO85" s="1949">
        <v>0</v>
      </c>
      <c r="AP85" s="1949">
        <v>0</v>
      </c>
      <c r="AQ85" s="1949">
        <v>0</v>
      </c>
      <c r="AR85" s="1949">
        <v>0</v>
      </c>
      <c r="AS85" s="1944">
        <v>0</v>
      </c>
      <c r="AT85" s="1945">
        <v>0</v>
      </c>
      <c r="AU85" s="1944">
        <v>0</v>
      </c>
      <c r="AV85" s="1944">
        <v>0</v>
      </c>
      <c r="AX85" s="1937" t="s">
        <v>2737</v>
      </c>
      <c r="AY85" s="1941" t="s">
        <v>2069</v>
      </c>
      <c r="AZ85" s="1942" t="s">
        <v>2071</v>
      </c>
      <c r="BA85" s="1944">
        <v>0.1</v>
      </c>
      <c r="BB85" s="1944">
        <v>0.1</v>
      </c>
      <c r="BC85" s="1944">
        <v>0.1</v>
      </c>
      <c r="BD85" s="1944">
        <v>0.1</v>
      </c>
      <c r="BE85" s="1944">
        <v>0.1</v>
      </c>
      <c r="BF85" s="1944">
        <v>0.1</v>
      </c>
      <c r="BG85" s="1944">
        <v>0.1</v>
      </c>
      <c r="BH85" s="1944">
        <v>0.1</v>
      </c>
      <c r="BI85" s="1944">
        <v>0.1</v>
      </c>
      <c r="BJ85" s="1944">
        <v>0.1</v>
      </c>
      <c r="BK85" s="1945"/>
      <c r="BL85" s="1944"/>
      <c r="BM85" s="1944"/>
      <c r="BO85" s="1937" t="s">
        <v>2737</v>
      </c>
      <c r="BP85" s="1941" t="s">
        <v>2069</v>
      </c>
      <c r="BQ85" s="1942" t="s">
        <v>2071</v>
      </c>
      <c r="BR85" s="1944">
        <v>0.1</v>
      </c>
      <c r="BS85" s="1944">
        <v>0.1</v>
      </c>
      <c r="BT85" s="1944">
        <v>0.1</v>
      </c>
      <c r="BU85" s="1944">
        <v>0.1</v>
      </c>
      <c r="BV85" s="1944">
        <v>0.1</v>
      </c>
      <c r="BW85" s="1944">
        <v>0.1</v>
      </c>
      <c r="BX85" s="1944">
        <v>0.1</v>
      </c>
      <c r="BY85" s="1944">
        <v>0.1</v>
      </c>
      <c r="BZ85" s="1944">
        <v>0.1</v>
      </c>
      <c r="CA85" s="1944">
        <v>0.1</v>
      </c>
      <c r="CB85" s="1945"/>
      <c r="CC85" s="1944"/>
      <c r="CD85" s="1944"/>
      <c r="CE85" s="2272"/>
      <c r="CG85" s="1937" t="s">
        <v>2737</v>
      </c>
      <c r="CH85" s="1941" t="s">
        <v>2069</v>
      </c>
      <c r="CI85" s="1942" t="s">
        <v>2071</v>
      </c>
      <c r="CJ85" s="2706">
        <v>0</v>
      </c>
      <c r="CK85" s="2706">
        <v>0</v>
      </c>
      <c r="CL85" s="2706">
        <v>0</v>
      </c>
      <c r="CM85" s="2706">
        <v>0</v>
      </c>
      <c r="CN85" s="2706">
        <v>0</v>
      </c>
      <c r="CO85" s="2706">
        <v>0</v>
      </c>
      <c r="CP85" s="2706">
        <v>0</v>
      </c>
      <c r="CQ85" s="2706">
        <v>0</v>
      </c>
      <c r="CR85" s="2706">
        <v>0</v>
      </c>
      <c r="CS85" s="2706">
        <v>0</v>
      </c>
      <c r="CT85" s="2706">
        <v>0</v>
      </c>
      <c r="CU85" s="2706">
        <f t="shared" si="112"/>
        <v>0</v>
      </c>
      <c r="CV85" s="2706">
        <f t="shared" si="113"/>
        <v>0</v>
      </c>
      <c r="CX85" s="1937" t="s">
        <v>2737</v>
      </c>
      <c r="CY85" s="1941" t="s">
        <v>2069</v>
      </c>
      <c r="CZ85" s="1942" t="s">
        <v>2071</v>
      </c>
      <c r="DA85" s="2924">
        <v>0</v>
      </c>
      <c r="DB85" s="2695"/>
      <c r="DC85" s="2695"/>
      <c r="DD85" s="2695"/>
      <c r="DE85" s="2695"/>
      <c r="DF85" s="2695"/>
      <c r="DG85" s="2695"/>
      <c r="DH85" s="2695"/>
      <c r="DI85" s="2695"/>
      <c r="DJ85" s="2695"/>
      <c r="DK85" s="2695"/>
      <c r="DL85" s="2695"/>
      <c r="DM85" s="2695"/>
    </row>
    <row r="86" spans="2:117">
      <c r="B86" s="1916" t="str">
        <f t="shared" si="116"/>
        <v>2.2.4</v>
      </c>
      <c r="C86" s="1938" t="str">
        <f t="shared" si="93"/>
        <v>空調換気ダクトの更新必要間隔</v>
      </c>
      <c r="D86" s="1926" t="e">
        <f t="shared" si="117"/>
        <v>#DIV/0!</v>
      </c>
      <c r="E86" s="1936" t="e">
        <f t="shared" si="117"/>
        <v>#DIV/0!</v>
      </c>
      <c r="G86" s="1936" t="e">
        <f t="shared" si="98"/>
        <v>#DIV/0!</v>
      </c>
      <c r="H86" s="1936" t="e">
        <f t="shared" si="99"/>
        <v>#DIV/0!</v>
      </c>
      <c r="I86" s="1936"/>
      <c r="J86" s="1936"/>
      <c r="K86" s="1936">
        <f>IF(スコア!O86=0,0,1)</f>
        <v>1</v>
      </c>
      <c r="L86" s="1936">
        <f>IF(スコア!R86=0,0,1)</f>
        <v>0</v>
      </c>
      <c r="M86" s="1936" t="e">
        <f t="shared" si="100"/>
        <v>#DIV/0!</v>
      </c>
      <c r="N86" s="1936" t="e">
        <f t="shared" si="101"/>
        <v>#DIV/0!</v>
      </c>
      <c r="P86" s="1937" t="str">
        <f t="shared" si="94"/>
        <v>2.2.4</v>
      </c>
      <c r="Q86" s="1937" t="str">
        <f t="shared" si="95"/>
        <v xml:space="preserve"> Q2 2.2</v>
      </c>
      <c r="R86" s="1938" t="str">
        <f t="shared" si="96"/>
        <v>空調換気ダクトの更新必要間隔</v>
      </c>
      <c r="S86" s="2799">
        <f t="shared" si="74"/>
        <v>0.1</v>
      </c>
      <c r="T86" s="2799">
        <f t="shared" si="75"/>
        <v>0.1</v>
      </c>
      <c r="U86" s="2799">
        <f t="shared" si="76"/>
        <v>0.1</v>
      </c>
      <c r="V86" s="2799">
        <f t="shared" si="77"/>
        <v>0.1</v>
      </c>
      <c r="W86" s="2799">
        <f t="shared" si="78"/>
        <v>0.1</v>
      </c>
      <c r="X86" s="2799">
        <f t="shared" si="79"/>
        <v>0.1</v>
      </c>
      <c r="Y86" s="2799">
        <f t="shared" si="80"/>
        <v>0.1</v>
      </c>
      <c r="Z86" s="2801">
        <f t="shared" si="81"/>
        <v>0.1</v>
      </c>
      <c r="AA86" s="2799">
        <f t="shared" si="82"/>
        <v>0.1</v>
      </c>
      <c r="AB86" s="2799">
        <f t="shared" si="83"/>
        <v>0.1</v>
      </c>
      <c r="AC86" s="2800">
        <f t="shared" si="84"/>
        <v>0</v>
      </c>
      <c r="AD86" s="2799">
        <f t="shared" si="85"/>
        <v>0</v>
      </c>
      <c r="AE86" s="2799">
        <f t="shared" si="86"/>
        <v>0</v>
      </c>
      <c r="AG86" s="1937" t="s">
        <v>2738</v>
      </c>
      <c r="AH86" s="1941" t="s">
        <v>2069</v>
      </c>
      <c r="AI86" s="1942" t="s">
        <v>2072</v>
      </c>
      <c r="AJ86" s="1940">
        <v>0.1</v>
      </c>
      <c r="AK86" s="1940">
        <v>0.1</v>
      </c>
      <c r="AL86" s="1940">
        <v>0.1</v>
      </c>
      <c r="AM86" s="1940">
        <v>0.1</v>
      </c>
      <c r="AN86" s="1940">
        <v>0.1</v>
      </c>
      <c r="AO86" s="1940">
        <v>0.1</v>
      </c>
      <c r="AP86" s="1940">
        <v>0.1</v>
      </c>
      <c r="AQ86" s="1940">
        <v>0.1</v>
      </c>
      <c r="AR86" s="1940">
        <v>0.1</v>
      </c>
      <c r="AS86" s="1944">
        <v>0.1</v>
      </c>
      <c r="AT86" s="1945">
        <v>0</v>
      </c>
      <c r="AU86" s="1944">
        <v>0</v>
      </c>
      <c r="AV86" s="1944">
        <v>0</v>
      </c>
      <c r="AX86" s="1937" t="s">
        <v>2739</v>
      </c>
      <c r="AY86" s="1941" t="s">
        <v>2069</v>
      </c>
      <c r="AZ86" s="1942" t="s">
        <v>2046</v>
      </c>
      <c r="BA86" s="1944">
        <v>0.1</v>
      </c>
      <c r="BB86" s="1944">
        <v>0.1</v>
      </c>
      <c r="BC86" s="1944">
        <v>0.1</v>
      </c>
      <c r="BD86" s="1944">
        <v>0.1</v>
      </c>
      <c r="BE86" s="1944">
        <v>0.1</v>
      </c>
      <c r="BF86" s="1944">
        <v>0.1</v>
      </c>
      <c r="BG86" s="1944">
        <v>0.1</v>
      </c>
      <c r="BH86" s="1944">
        <v>0.1</v>
      </c>
      <c r="BI86" s="1944">
        <v>0.1</v>
      </c>
      <c r="BJ86" s="1944">
        <v>0.1</v>
      </c>
      <c r="BK86" s="1945"/>
      <c r="BL86" s="1944"/>
      <c r="BM86" s="1944"/>
      <c r="BO86" s="1937" t="s">
        <v>2739</v>
      </c>
      <c r="BP86" s="1941" t="s">
        <v>2069</v>
      </c>
      <c r="BQ86" s="1942" t="s">
        <v>2072</v>
      </c>
      <c r="BR86" s="1944">
        <v>0.1</v>
      </c>
      <c r="BS86" s="1944">
        <v>0.1</v>
      </c>
      <c r="BT86" s="1944">
        <v>0.1</v>
      </c>
      <c r="BU86" s="1944">
        <v>0.1</v>
      </c>
      <c r="BV86" s="1944">
        <v>0.1</v>
      </c>
      <c r="BW86" s="1944">
        <v>0.1</v>
      </c>
      <c r="BX86" s="1944">
        <v>0.1</v>
      </c>
      <c r="BY86" s="1944">
        <v>0.1</v>
      </c>
      <c r="BZ86" s="1944">
        <v>0.1</v>
      </c>
      <c r="CA86" s="1944">
        <v>0.1</v>
      </c>
      <c r="CB86" s="1945"/>
      <c r="CC86" s="1944"/>
      <c r="CD86" s="1944"/>
      <c r="CE86" s="2272"/>
      <c r="CG86" s="1937" t="s">
        <v>2738</v>
      </c>
      <c r="CH86" s="1941" t="s">
        <v>2069</v>
      </c>
      <c r="CI86" s="1942" t="s">
        <v>2072</v>
      </c>
      <c r="CJ86" s="2706">
        <v>0</v>
      </c>
      <c r="CK86" s="2706">
        <v>0</v>
      </c>
      <c r="CL86" s="2706">
        <v>0</v>
      </c>
      <c r="CM86" s="2706">
        <v>0</v>
      </c>
      <c r="CN86" s="2706">
        <v>0</v>
      </c>
      <c r="CO86" s="2706">
        <v>0</v>
      </c>
      <c r="CP86" s="2706">
        <v>0</v>
      </c>
      <c r="CQ86" s="2706">
        <v>0</v>
      </c>
      <c r="CR86" s="2706">
        <v>0</v>
      </c>
      <c r="CS86" s="2706">
        <v>0</v>
      </c>
      <c r="CT86" s="2706">
        <v>0</v>
      </c>
      <c r="CU86" s="2706">
        <f t="shared" si="112"/>
        <v>0</v>
      </c>
      <c r="CV86" s="2706">
        <f t="shared" si="113"/>
        <v>0</v>
      </c>
      <c r="CX86" s="1937" t="s">
        <v>2738</v>
      </c>
      <c r="CY86" s="1941" t="s">
        <v>2069</v>
      </c>
      <c r="CZ86" s="1942" t="s">
        <v>2072</v>
      </c>
      <c r="DA86" s="2924">
        <v>0</v>
      </c>
      <c r="DB86" s="2695"/>
      <c r="DC86" s="2695"/>
      <c r="DD86" s="2695"/>
      <c r="DE86" s="2695"/>
      <c r="DF86" s="2695"/>
      <c r="DG86" s="2695"/>
      <c r="DH86" s="2695"/>
      <c r="DI86" s="2695"/>
      <c r="DJ86" s="2695"/>
      <c r="DK86" s="2695"/>
      <c r="DL86" s="2695"/>
      <c r="DM86" s="2695"/>
    </row>
    <row r="87" spans="2:117">
      <c r="B87" s="1916" t="str">
        <f t="shared" si="116"/>
        <v>2.2.5</v>
      </c>
      <c r="C87" s="1938" t="str">
        <f t="shared" si="93"/>
        <v>空調・給排水配管の更新必要間隔</v>
      </c>
      <c r="D87" s="1926" t="e">
        <f t="shared" si="117"/>
        <v>#DIV/0!</v>
      </c>
      <c r="E87" s="1936" t="e">
        <f t="shared" si="117"/>
        <v>#DIV/0!</v>
      </c>
      <c r="G87" s="1936" t="e">
        <f t="shared" si="98"/>
        <v>#DIV/0!</v>
      </c>
      <c r="H87" s="1936" t="e">
        <f t="shared" si="99"/>
        <v>#DIV/0!</v>
      </c>
      <c r="I87" s="1936"/>
      <c r="J87" s="1936"/>
      <c r="K87" s="1936">
        <f>IF(スコア!O88=0,0,1)</f>
        <v>1</v>
      </c>
      <c r="L87" s="1936">
        <f>IF(スコア!R88=0,0,1)</f>
        <v>0</v>
      </c>
      <c r="M87" s="1936" t="e">
        <f t="shared" si="100"/>
        <v>#DIV/0!</v>
      </c>
      <c r="N87" s="1936" t="e">
        <f t="shared" si="101"/>
        <v>#DIV/0!</v>
      </c>
      <c r="P87" s="1937" t="str">
        <f t="shared" si="94"/>
        <v>2.2.5</v>
      </c>
      <c r="Q87" s="1937" t="str">
        <f t="shared" si="95"/>
        <v xml:space="preserve"> Q2 2.2</v>
      </c>
      <c r="R87" s="1938" t="str">
        <f t="shared" si="96"/>
        <v>空調・給排水配管の更新必要間隔</v>
      </c>
      <c r="S87" s="2799">
        <f t="shared" si="74"/>
        <v>0.2</v>
      </c>
      <c r="T87" s="2799">
        <f t="shared" si="75"/>
        <v>0.2</v>
      </c>
      <c r="U87" s="2799">
        <f t="shared" si="76"/>
        <v>0.2</v>
      </c>
      <c r="V87" s="2799">
        <f t="shared" si="77"/>
        <v>0.2</v>
      </c>
      <c r="W87" s="2799">
        <f t="shared" si="78"/>
        <v>0.2</v>
      </c>
      <c r="X87" s="2799">
        <f t="shared" si="79"/>
        <v>0.2</v>
      </c>
      <c r="Y87" s="2799">
        <f t="shared" si="80"/>
        <v>0.2</v>
      </c>
      <c r="Z87" s="2801">
        <f t="shared" si="81"/>
        <v>0.2</v>
      </c>
      <c r="AA87" s="2799">
        <f t="shared" si="82"/>
        <v>0.2</v>
      </c>
      <c r="AB87" s="2799">
        <f t="shared" si="83"/>
        <v>0.2</v>
      </c>
      <c r="AC87" s="2800">
        <f t="shared" si="84"/>
        <v>0</v>
      </c>
      <c r="AD87" s="2799">
        <f t="shared" si="85"/>
        <v>0</v>
      </c>
      <c r="AE87" s="2799">
        <f t="shared" si="86"/>
        <v>0</v>
      </c>
      <c r="AG87" s="1937" t="s">
        <v>2740</v>
      </c>
      <c r="AH87" s="1941" t="s">
        <v>2069</v>
      </c>
      <c r="AI87" s="1942" t="s">
        <v>2073</v>
      </c>
      <c r="AJ87" s="1940">
        <v>0.1</v>
      </c>
      <c r="AK87" s="1940">
        <v>0.1</v>
      </c>
      <c r="AL87" s="1940">
        <v>0.1</v>
      </c>
      <c r="AM87" s="1940">
        <v>0.1</v>
      </c>
      <c r="AN87" s="1940">
        <v>0.1</v>
      </c>
      <c r="AO87" s="1940">
        <v>0.1</v>
      </c>
      <c r="AP87" s="1940">
        <v>0.1</v>
      </c>
      <c r="AQ87" s="1940">
        <v>0.1</v>
      </c>
      <c r="AR87" s="1940">
        <v>0.1</v>
      </c>
      <c r="AS87" s="1944">
        <v>0.1</v>
      </c>
      <c r="AT87" s="1945"/>
      <c r="AU87" s="1944"/>
      <c r="AV87" s="1944"/>
      <c r="AX87" s="1937" t="s">
        <v>2741</v>
      </c>
      <c r="AY87" s="1941" t="s">
        <v>2069</v>
      </c>
      <c r="AZ87" s="1942" t="s">
        <v>2047</v>
      </c>
      <c r="BA87" s="1944">
        <v>0.2</v>
      </c>
      <c r="BB87" s="1944">
        <v>0.2</v>
      </c>
      <c r="BC87" s="1944">
        <v>0.2</v>
      </c>
      <c r="BD87" s="1944">
        <v>0.2</v>
      </c>
      <c r="BE87" s="1944">
        <v>0.2</v>
      </c>
      <c r="BF87" s="1944">
        <v>0.2</v>
      </c>
      <c r="BG87" s="1944">
        <v>0.2</v>
      </c>
      <c r="BH87" s="1944">
        <v>0.2</v>
      </c>
      <c r="BI87" s="1944">
        <v>0.2</v>
      </c>
      <c r="BJ87" s="1944">
        <v>0.2</v>
      </c>
      <c r="BK87" s="1945"/>
      <c r="BL87" s="1944"/>
      <c r="BM87" s="1944"/>
      <c r="BO87" s="1937" t="s">
        <v>2741</v>
      </c>
      <c r="BP87" s="1941" t="s">
        <v>2069</v>
      </c>
      <c r="BQ87" s="1942" t="s">
        <v>2073</v>
      </c>
      <c r="BR87" s="1944">
        <v>0.2</v>
      </c>
      <c r="BS87" s="1944">
        <v>0.2</v>
      </c>
      <c r="BT87" s="1944">
        <v>0.2</v>
      </c>
      <c r="BU87" s="1944">
        <v>0.2</v>
      </c>
      <c r="BV87" s="1944">
        <v>0.2</v>
      </c>
      <c r="BW87" s="1944">
        <v>0.2</v>
      </c>
      <c r="BX87" s="1944">
        <v>0.2</v>
      </c>
      <c r="BY87" s="1944">
        <v>0.2</v>
      </c>
      <c r="BZ87" s="1944">
        <v>0.2</v>
      </c>
      <c r="CA87" s="1944">
        <v>0.2</v>
      </c>
      <c r="CB87" s="1945"/>
      <c r="CC87" s="1944"/>
      <c r="CD87" s="1944"/>
      <c r="CE87" s="2272"/>
      <c r="CG87" s="1937" t="s">
        <v>2740</v>
      </c>
      <c r="CH87" s="1941" t="s">
        <v>2069</v>
      </c>
      <c r="CI87" s="1942" t="s">
        <v>2073</v>
      </c>
      <c r="CJ87" s="2706">
        <v>0</v>
      </c>
      <c r="CK87" s="2706">
        <v>0</v>
      </c>
      <c r="CL87" s="2706">
        <v>0</v>
      </c>
      <c r="CM87" s="2706">
        <v>0</v>
      </c>
      <c r="CN87" s="2706">
        <v>0</v>
      </c>
      <c r="CO87" s="2706">
        <v>0</v>
      </c>
      <c r="CP87" s="2706">
        <v>0</v>
      </c>
      <c r="CQ87" s="2706">
        <v>0</v>
      </c>
      <c r="CR87" s="2706">
        <v>0</v>
      </c>
      <c r="CS87" s="2706">
        <v>0</v>
      </c>
      <c r="CT87" s="2706">
        <v>0</v>
      </c>
      <c r="CU87" s="2706">
        <f t="shared" si="112"/>
        <v>0</v>
      </c>
      <c r="CV87" s="2706">
        <f t="shared" si="113"/>
        <v>0</v>
      </c>
      <c r="CX87" s="1937" t="s">
        <v>2740</v>
      </c>
      <c r="CY87" s="1941" t="s">
        <v>2069</v>
      </c>
      <c r="CZ87" s="1942" t="s">
        <v>2073</v>
      </c>
      <c r="DA87" s="2924">
        <v>0</v>
      </c>
      <c r="DB87" s="2695"/>
      <c r="DC87" s="2695"/>
      <c r="DD87" s="2695"/>
      <c r="DE87" s="2695"/>
      <c r="DF87" s="2695"/>
      <c r="DG87" s="2695"/>
      <c r="DH87" s="2695"/>
      <c r="DI87" s="2695"/>
      <c r="DJ87" s="2695"/>
      <c r="DK87" s="2695"/>
      <c r="DL87" s="2695"/>
      <c r="DM87" s="2695"/>
    </row>
    <row r="88" spans="2:117">
      <c r="B88" s="1916" t="str">
        <f t="shared" si="116"/>
        <v>2.2.6</v>
      </c>
      <c r="C88" s="3000" t="str">
        <f t="shared" si="93"/>
        <v>主要設備機器の更新必要間隔</v>
      </c>
      <c r="D88" s="1926" t="e">
        <f t="shared" si="117"/>
        <v>#DIV/0!</v>
      </c>
      <c r="E88" s="1936" t="e">
        <f t="shared" si="117"/>
        <v>#DIV/0!</v>
      </c>
      <c r="G88" s="1936" t="e">
        <f t="shared" si="98"/>
        <v>#DIV/0!</v>
      </c>
      <c r="H88" s="1936" t="e">
        <f t="shared" si="99"/>
        <v>#DIV/0!</v>
      </c>
      <c r="I88" s="1936"/>
      <c r="J88" s="1936"/>
      <c r="K88" s="1936">
        <f>IF(スコア!O88=0,0,1)</f>
        <v>1</v>
      </c>
      <c r="L88" s="1936">
        <f>IF(スコア!R88=0,0,1)</f>
        <v>0</v>
      </c>
      <c r="M88" s="1936" t="e">
        <f t="shared" si="100"/>
        <v>#DIV/0!</v>
      </c>
      <c r="N88" s="1936" t="e">
        <f t="shared" si="101"/>
        <v>#DIV/0!</v>
      </c>
      <c r="P88" s="1937" t="str">
        <f t="shared" si="94"/>
        <v>2.2.6</v>
      </c>
      <c r="Q88" s="1937" t="str">
        <f t="shared" si="95"/>
        <v xml:space="preserve"> Q2 2.2</v>
      </c>
      <c r="R88" s="1938" t="str">
        <f t="shared" si="96"/>
        <v>主要設備機器の更新必要間隔</v>
      </c>
      <c r="S88" s="2799">
        <f t="shared" si="74"/>
        <v>0.2</v>
      </c>
      <c r="T88" s="2799">
        <f t="shared" si="75"/>
        <v>0.2</v>
      </c>
      <c r="U88" s="2799">
        <f t="shared" si="76"/>
        <v>0.2</v>
      </c>
      <c r="V88" s="2799">
        <f t="shared" si="77"/>
        <v>0.2</v>
      </c>
      <c r="W88" s="2799">
        <f t="shared" si="78"/>
        <v>0.2</v>
      </c>
      <c r="X88" s="2799">
        <f t="shared" si="79"/>
        <v>0.2</v>
      </c>
      <c r="Y88" s="2799">
        <f t="shared" si="80"/>
        <v>0.2</v>
      </c>
      <c r="Z88" s="2801">
        <f t="shared" si="81"/>
        <v>0.2</v>
      </c>
      <c r="AA88" s="2799">
        <f t="shared" si="82"/>
        <v>0.2</v>
      </c>
      <c r="AB88" s="2799">
        <f t="shared" si="83"/>
        <v>0.2</v>
      </c>
      <c r="AC88" s="2800">
        <f t="shared" si="84"/>
        <v>0</v>
      </c>
      <c r="AD88" s="2799">
        <f t="shared" si="85"/>
        <v>0</v>
      </c>
      <c r="AE88" s="2799">
        <f t="shared" si="86"/>
        <v>0</v>
      </c>
      <c r="AG88" s="1937" t="s">
        <v>2742</v>
      </c>
      <c r="AH88" s="1941" t="s">
        <v>2069</v>
      </c>
      <c r="AI88" s="1942" t="s">
        <v>2074</v>
      </c>
      <c r="AJ88" s="1940">
        <v>0.2</v>
      </c>
      <c r="AK88" s="1940">
        <v>0.2</v>
      </c>
      <c r="AL88" s="1940">
        <v>0.2</v>
      </c>
      <c r="AM88" s="1940">
        <v>0.2</v>
      </c>
      <c r="AN88" s="1940">
        <v>0.2</v>
      </c>
      <c r="AO88" s="1940">
        <v>0.2</v>
      </c>
      <c r="AP88" s="1940">
        <v>0.2</v>
      </c>
      <c r="AQ88" s="1940">
        <v>0.2</v>
      </c>
      <c r="AR88" s="1940">
        <v>0.2</v>
      </c>
      <c r="AS88" s="1944">
        <v>0.25</v>
      </c>
      <c r="AT88" s="1945">
        <v>0</v>
      </c>
      <c r="AU88" s="1944">
        <v>0</v>
      </c>
      <c r="AV88" s="1944">
        <v>0</v>
      </c>
      <c r="AX88" s="1937" t="s">
        <v>2742</v>
      </c>
      <c r="AY88" s="1941" t="s">
        <v>2069</v>
      </c>
      <c r="AZ88" s="1942" t="s">
        <v>2074</v>
      </c>
      <c r="BA88" s="1944">
        <v>0.2</v>
      </c>
      <c r="BB88" s="1944">
        <v>0.2</v>
      </c>
      <c r="BC88" s="1944">
        <v>0.2</v>
      </c>
      <c r="BD88" s="1944">
        <v>0.2</v>
      </c>
      <c r="BE88" s="1944">
        <v>0.2</v>
      </c>
      <c r="BF88" s="1944">
        <v>0.2</v>
      </c>
      <c r="BG88" s="1944">
        <v>0.2</v>
      </c>
      <c r="BH88" s="1944">
        <v>0.2</v>
      </c>
      <c r="BI88" s="1944">
        <v>0.2</v>
      </c>
      <c r="BJ88" s="1944">
        <v>0.2</v>
      </c>
      <c r="BK88" s="1945"/>
      <c r="BL88" s="1944"/>
      <c r="BM88" s="1944"/>
      <c r="BO88" s="1937" t="s">
        <v>2742</v>
      </c>
      <c r="BP88" s="1941" t="s">
        <v>2069</v>
      </c>
      <c r="BQ88" s="1942" t="s">
        <v>2074</v>
      </c>
      <c r="BR88" s="1944">
        <v>0.2</v>
      </c>
      <c r="BS88" s="1944">
        <v>0.2</v>
      </c>
      <c r="BT88" s="1944">
        <v>0.2</v>
      </c>
      <c r="BU88" s="1944">
        <v>0.2</v>
      </c>
      <c r="BV88" s="1944">
        <v>0.2</v>
      </c>
      <c r="BW88" s="1944">
        <v>0.2</v>
      </c>
      <c r="BX88" s="1944">
        <v>0.2</v>
      </c>
      <c r="BY88" s="1944">
        <v>0.2</v>
      </c>
      <c r="BZ88" s="1944">
        <v>0.2</v>
      </c>
      <c r="CA88" s="1944">
        <v>0.2</v>
      </c>
      <c r="CB88" s="1945"/>
      <c r="CC88" s="1944"/>
      <c r="CD88" s="1944"/>
      <c r="CE88" s="2272"/>
      <c r="CG88" s="1937" t="s">
        <v>2742</v>
      </c>
      <c r="CH88" s="1941" t="s">
        <v>2069</v>
      </c>
      <c r="CI88" s="1942" t="s">
        <v>2074</v>
      </c>
      <c r="CJ88" s="2706">
        <v>0</v>
      </c>
      <c r="CK88" s="2706">
        <v>0</v>
      </c>
      <c r="CL88" s="2706">
        <v>0</v>
      </c>
      <c r="CM88" s="2706">
        <v>0</v>
      </c>
      <c r="CN88" s="2706">
        <v>0</v>
      </c>
      <c r="CO88" s="2706">
        <v>0</v>
      </c>
      <c r="CP88" s="2706">
        <v>0</v>
      </c>
      <c r="CQ88" s="2706">
        <v>0</v>
      </c>
      <c r="CR88" s="2706">
        <v>0</v>
      </c>
      <c r="CS88" s="2706">
        <v>0</v>
      </c>
      <c r="CT88" s="2706">
        <v>0</v>
      </c>
      <c r="CU88" s="2706">
        <f t="shared" si="112"/>
        <v>0</v>
      </c>
      <c r="CV88" s="2706">
        <f t="shared" si="113"/>
        <v>0</v>
      </c>
      <c r="CX88" s="1937" t="s">
        <v>2742</v>
      </c>
      <c r="CY88" s="1941" t="s">
        <v>2069</v>
      </c>
      <c r="CZ88" s="1942" t="s">
        <v>2074</v>
      </c>
      <c r="DA88" s="2924">
        <v>0</v>
      </c>
      <c r="DB88" s="2695"/>
      <c r="DC88" s="2695"/>
      <c r="DD88" s="2695"/>
      <c r="DE88" s="2695"/>
      <c r="DF88" s="2695"/>
      <c r="DG88" s="2695"/>
      <c r="DH88" s="2695"/>
      <c r="DI88" s="2695"/>
      <c r="DJ88" s="2695"/>
      <c r="DK88" s="2695"/>
      <c r="DL88" s="2695"/>
      <c r="DM88" s="2695"/>
    </row>
    <row r="89" spans="2:117">
      <c r="B89" s="1916">
        <f t="shared" si="116"/>
        <v>2.2999999999999998</v>
      </c>
      <c r="C89" s="3000" t="str">
        <f t="shared" si="93"/>
        <v>適切な更新</v>
      </c>
      <c r="D89" s="1935" t="e">
        <f>IF(I$78=0,0,G89/I$78)</f>
        <v>#DIV/0!</v>
      </c>
      <c r="E89" s="1936" t="e">
        <f>IF(J$78=0,0,H89/J$78)</f>
        <v>#DIV/0!</v>
      </c>
      <c r="G89" s="1936" t="e">
        <f>K89*M89</f>
        <v>#DIV/0!</v>
      </c>
      <c r="H89" s="1936" t="e">
        <f t="shared" si="99"/>
        <v>#DIV/0!</v>
      </c>
      <c r="I89" s="1936" t="e">
        <f>G90+G91+G92</f>
        <v>#DIV/0!</v>
      </c>
      <c r="J89" s="1936" t="e">
        <f>H90+H91+H92</f>
        <v>#DIV/0!</v>
      </c>
      <c r="K89" s="1936" t="e">
        <f>IF(スコア!O89=0,0,1)</f>
        <v>#DIV/0!</v>
      </c>
      <c r="L89" s="1936" t="e">
        <f>IF(スコア!R93=0,0,1)</f>
        <v>#DIV/0!</v>
      </c>
      <c r="M89" s="1936" t="e">
        <f t="shared" si="100"/>
        <v>#DIV/0!</v>
      </c>
      <c r="N89" s="1936" t="e">
        <f t="shared" si="101"/>
        <v>#DIV/0!</v>
      </c>
      <c r="P89" s="1937">
        <f t="shared" si="94"/>
        <v>2.2999999999999998</v>
      </c>
      <c r="Q89" s="1937" t="str">
        <f t="shared" si="95"/>
        <v xml:space="preserve"> Q2 2</v>
      </c>
      <c r="R89" s="1938" t="str">
        <f t="shared" si="96"/>
        <v>適切な更新</v>
      </c>
      <c r="S89" s="2799">
        <f t="shared" si="74"/>
        <v>0</v>
      </c>
      <c r="T89" s="2799">
        <f t="shared" si="75"/>
        <v>0</v>
      </c>
      <c r="U89" s="2799">
        <f t="shared" si="76"/>
        <v>0</v>
      </c>
      <c r="V89" s="2799">
        <f t="shared" si="77"/>
        <v>0</v>
      </c>
      <c r="W89" s="2799">
        <f t="shared" si="78"/>
        <v>0</v>
      </c>
      <c r="X89" s="2799">
        <f t="shared" si="79"/>
        <v>0</v>
      </c>
      <c r="Y89" s="2799">
        <f t="shared" si="80"/>
        <v>0</v>
      </c>
      <c r="Z89" s="2801">
        <f t="shared" si="81"/>
        <v>0</v>
      </c>
      <c r="AA89" s="2799">
        <f t="shared" si="82"/>
        <v>0</v>
      </c>
      <c r="AB89" s="2799">
        <f t="shared" si="83"/>
        <v>0</v>
      </c>
      <c r="AC89" s="2800">
        <f t="shared" si="84"/>
        <v>0</v>
      </c>
      <c r="AD89" s="2799">
        <f t="shared" si="85"/>
        <v>0</v>
      </c>
      <c r="AE89" s="2799">
        <f t="shared" si="86"/>
        <v>0</v>
      </c>
      <c r="AG89" s="1937">
        <v>2.2999999999999998</v>
      </c>
      <c r="AH89" s="1937" t="s">
        <v>2743</v>
      </c>
      <c r="AI89" s="1941" t="s">
        <v>792</v>
      </c>
      <c r="AJ89" s="1939">
        <v>0.25</v>
      </c>
      <c r="AK89" s="1939">
        <v>0.25</v>
      </c>
      <c r="AL89" s="1939">
        <v>0.25</v>
      </c>
      <c r="AM89" s="1939">
        <v>0.25</v>
      </c>
      <c r="AN89" s="1939">
        <v>0.25</v>
      </c>
      <c r="AO89" s="1939">
        <v>0.25</v>
      </c>
      <c r="AP89" s="1939">
        <v>0.25</v>
      </c>
      <c r="AQ89" s="1948">
        <v>0.25</v>
      </c>
      <c r="AR89" s="1939">
        <v>0.25</v>
      </c>
      <c r="AS89" s="1944">
        <v>0.25</v>
      </c>
      <c r="AT89" s="1944"/>
      <c r="AU89" s="1945"/>
      <c r="AV89" s="1944"/>
      <c r="AX89" s="1961">
        <v>2.2999999999999998</v>
      </c>
      <c r="AY89" s="1986" t="s">
        <v>2065</v>
      </c>
      <c r="AZ89" s="1965" t="s">
        <v>2048</v>
      </c>
      <c r="BA89" s="1966">
        <v>0</v>
      </c>
      <c r="BB89" s="1966">
        <v>0</v>
      </c>
      <c r="BC89" s="1966">
        <v>0</v>
      </c>
      <c r="BD89" s="1966">
        <v>0</v>
      </c>
      <c r="BE89" s="1966">
        <v>0</v>
      </c>
      <c r="BF89" s="1966">
        <v>0</v>
      </c>
      <c r="BG89" s="1966">
        <v>0</v>
      </c>
      <c r="BH89" s="1966">
        <v>0</v>
      </c>
      <c r="BI89" s="1966">
        <v>0</v>
      </c>
      <c r="BJ89" s="1966">
        <v>0</v>
      </c>
      <c r="BK89" s="1968"/>
      <c r="BL89" s="1966"/>
      <c r="BM89" s="1966"/>
      <c r="BO89" s="1961">
        <v>2.2999999999999998</v>
      </c>
      <c r="BP89" s="1986" t="s">
        <v>2065</v>
      </c>
      <c r="BQ89" s="1965" t="s">
        <v>792</v>
      </c>
      <c r="BR89" s="1966">
        <v>0</v>
      </c>
      <c r="BS89" s="1966">
        <v>0</v>
      </c>
      <c r="BT89" s="1966">
        <v>0</v>
      </c>
      <c r="BU89" s="1966">
        <v>0</v>
      </c>
      <c r="BV89" s="1966">
        <v>0</v>
      </c>
      <c r="BW89" s="1966">
        <v>0</v>
      </c>
      <c r="BX89" s="1966">
        <v>0</v>
      </c>
      <c r="BY89" s="1966">
        <v>0</v>
      </c>
      <c r="BZ89" s="1966">
        <v>0</v>
      </c>
      <c r="CA89" s="1966">
        <v>0</v>
      </c>
      <c r="CB89" s="1966"/>
      <c r="CC89" s="1966"/>
      <c r="CD89" s="1966"/>
      <c r="CE89" s="2272"/>
      <c r="CG89" s="1961">
        <v>2.2999999999999998</v>
      </c>
      <c r="CH89" s="1986" t="s">
        <v>2065</v>
      </c>
      <c r="CI89" s="1965" t="s">
        <v>792</v>
      </c>
      <c r="CJ89" s="2713">
        <f t="shared" si="114"/>
        <v>0</v>
      </c>
      <c r="CK89" s="2713">
        <f t="shared" si="102"/>
        <v>0</v>
      </c>
      <c r="CL89" s="2713">
        <f t="shared" si="103"/>
        <v>0</v>
      </c>
      <c r="CM89" s="2713">
        <f t="shared" si="104"/>
        <v>0</v>
      </c>
      <c r="CN89" s="2713">
        <f t="shared" si="105"/>
        <v>0</v>
      </c>
      <c r="CO89" s="2713">
        <f t="shared" si="106"/>
        <v>0</v>
      </c>
      <c r="CP89" s="2713">
        <f t="shared" si="107"/>
        <v>0</v>
      </c>
      <c r="CQ89" s="2713">
        <f t="shared" si="108"/>
        <v>0</v>
      </c>
      <c r="CR89" s="2713">
        <f t="shared" si="109"/>
        <v>0</v>
      </c>
      <c r="CS89" s="2713">
        <f t="shared" si="110"/>
        <v>0</v>
      </c>
      <c r="CT89" s="2713">
        <f t="shared" si="111"/>
        <v>0</v>
      </c>
      <c r="CU89" s="2713">
        <f t="shared" si="112"/>
        <v>0</v>
      </c>
      <c r="CV89" s="2713">
        <f t="shared" si="113"/>
        <v>0</v>
      </c>
      <c r="CX89" s="1961">
        <v>2.2999999999999998</v>
      </c>
      <c r="CY89" s="1986" t="s">
        <v>2065</v>
      </c>
      <c r="CZ89" s="1965" t="s">
        <v>792</v>
      </c>
      <c r="DA89" s="2909">
        <f t="shared" si="115"/>
        <v>0</v>
      </c>
      <c r="DB89" s="2909"/>
      <c r="DC89" s="2909"/>
      <c r="DD89" s="2909"/>
      <c r="DE89" s="2909"/>
      <c r="DF89" s="2909"/>
      <c r="DG89" s="2909"/>
      <c r="DH89" s="2909"/>
      <c r="DI89" s="2909"/>
      <c r="DJ89" s="2909"/>
      <c r="DK89" s="2909"/>
      <c r="DL89" s="2909"/>
      <c r="DM89" s="2909"/>
    </row>
    <row r="90" spans="2:117" hidden="1">
      <c r="B90" s="1916" t="str">
        <f t="shared" si="116"/>
        <v>2.3.1</v>
      </c>
      <c r="C90" s="3000">
        <f t="shared" si="93"/>
        <v>0</v>
      </c>
      <c r="D90" s="1926" t="e">
        <f>IF(I$89&gt;0,G90/I$89,0)</f>
        <v>#DIV/0!</v>
      </c>
      <c r="E90" s="1926" t="e">
        <f>IF(J$89&gt;0,H90/J$89,0)</f>
        <v>#DIV/0!</v>
      </c>
      <c r="G90" s="1936" t="e">
        <f t="shared" si="98"/>
        <v>#DIV/0!</v>
      </c>
      <c r="H90" s="1936" t="e">
        <f t="shared" si="99"/>
        <v>#DIV/0!</v>
      </c>
      <c r="I90" s="1936"/>
      <c r="J90" s="1936"/>
      <c r="K90" s="1936">
        <f>IF(スコア!O90=0,0,1)</f>
        <v>1</v>
      </c>
      <c r="L90" s="1936">
        <f>IF(スコア!R94=0,0,1)</f>
        <v>0</v>
      </c>
      <c r="M90" s="1936" t="e">
        <f t="shared" si="100"/>
        <v>#DIV/0!</v>
      </c>
      <c r="N90" s="1936" t="e">
        <f t="shared" si="101"/>
        <v>#DIV/0!</v>
      </c>
      <c r="P90" s="1937" t="str">
        <f t="shared" si="94"/>
        <v>2.3.1</v>
      </c>
      <c r="Q90" s="1937" t="str">
        <f t="shared" si="95"/>
        <v xml:space="preserve"> Q2 2.3</v>
      </c>
      <c r="R90" s="1938">
        <f t="shared" si="96"/>
        <v>0</v>
      </c>
      <c r="S90" s="2799">
        <f t="shared" si="74"/>
        <v>0</v>
      </c>
      <c r="T90" s="2799">
        <f t="shared" si="75"/>
        <v>0</v>
      </c>
      <c r="U90" s="2799">
        <f t="shared" si="76"/>
        <v>0</v>
      </c>
      <c r="V90" s="2799">
        <f t="shared" si="77"/>
        <v>0</v>
      </c>
      <c r="W90" s="2799">
        <f t="shared" si="78"/>
        <v>0</v>
      </c>
      <c r="X90" s="2799">
        <f t="shared" si="79"/>
        <v>0</v>
      </c>
      <c r="Y90" s="2799">
        <f t="shared" si="80"/>
        <v>0</v>
      </c>
      <c r="Z90" s="2801">
        <f t="shared" si="81"/>
        <v>0</v>
      </c>
      <c r="AA90" s="2799">
        <f t="shared" si="82"/>
        <v>0</v>
      </c>
      <c r="AB90" s="2799">
        <f t="shared" si="83"/>
        <v>0</v>
      </c>
      <c r="AC90" s="2800">
        <f t="shared" si="84"/>
        <v>0</v>
      </c>
      <c r="AD90" s="2799">
        <f t="shared" si="85"/>
        <v>0</v>
      </c>
      <c r="AE90" s="2799">
        <f t="shared" si="86"/>
        <v>0</v>
      </c>
      <c r="AG90" s="1937" t="s">
        <v>2744</v>
      </c>
      <c r="AH90" s="1937" t="s">
        <v>2745</v>
      </c>
      <c r="AI90" s="1941" t="s">
        <v>81</v>
      </c>
      <c r="AJ90" s="1977">
        <v>0.33333333333333331</v>
      </c>
      <c r="AK90" s="1977">
        <v>0.33333333333333331</v>
      </c>
      <c r="AL90" s="1977">
        <v>0.33333333333333331</v>
      </c>
      <c r="AM90" s="1977">
        <v>0.33333333333333331</v>
      </c>
      <c r="AN90" s="1977">
        <v>0.33333333333333331</v>
      </c>
      <c r="AO90" s="1977">
        <v>0.33333333333333331</v>
      </c>
      <c r="AP90" s="1977">
        <v>0.33333333333333331</v>
      </c>
      <c r="AQ90" s="1977">
        <v>0.33333333333333331</v>
      </c>
      <c r="AR90" s="1977">
        <v>0.33333333333333331</v>
      </c>
      <c r="AS90" s="1944">
        <v>0.33333333333333331</v>
      </c>
      <c r="AT90" s="1944"/>
      <c r="AU90" s="1945"/>
      <c r="AV90" s="1944"/>
      <c r="AX90" s="1961" t="s">
        <v>2746</v>
      </c>
      <c r="AY90" s="697" t="s">
        <v>2075</v>
      </c>
      <c r="AZ90" s="1965" t="s">
        <v>2049</v>
      </c>
      <c r="BA90" s="1966">
        <v>0</v>
      </c>
      <c r="BB90" s="1966">
        <v>0</v>
      </c>
      <c r="BC90" s="1966">
        <v>0</v>
      </c>
      <c r="BD90" s="1966">
        <v>0</v>
      </c>
      <c r="BE90" s="1966">
        <v>0</v>
      </c>
      <c r="BF90" s="1966">
        <v>0</v>
      </c>
      <c r="BG90" s="1966">
        <v>0</v>
      </c>
      <c r="BH90" s="1966">
        <v>0</v>
      </c>
      <c r="BI90" s="1966">
        <v>0</v>
      </c>
      <c r="BJ90" s="1966">
        <v>0</v>
      </c>
      <c r="BK90" s="1968"/>
      <c r="BL90" s="1966"/>
      <c r="BM90" s="1966"/>
      <c r="BO90" s="1961" t="s">
        <v>2746</v>
      </c>
      <c r="BP90" s="697" t="s">
        <v>2075</v>
      </c>
      <c r="BQ90" s="1965"/>
      <c r="BR90" s="1966">
        <v>0</v>
      </c>
      <c r="BS90" s="1966">
        <v>0</v>
      </c>
      <c r="BT90" s="1966">
        <v>0</v>
      </c>
      <c r="BU90" s="1966">
        <v>0</v>
      </c>
      <c r="BV90" s="1966">
        <v>0</v>
      </c>
      <c r="BW90" s="1966">
        <v>0</v>
      </c>
      <c r="BX90" s="1966">
        <v>0</v>
      </c>
      <c r="BY90" s="1966">
        <v>0</v>
      </c>
      <c r="BZ90" s="1966">
        <v>0</v>
      </c>
      <c r="CA90" s="1966">
        <v>0</v>
      </c>
      <c r="CB90" s="1966"/>
      <c r="CC90" s="1966"/>
      <c r="CD90" s="1966"/>
      <c r="CE90" s="2272"/>
      <c r="CG90" s="1961" t="s">
        <v>266</v>
      </c>
      <c r="CH90" s="697" t="s">
        <v>2075</v>
      </c>
      <c r="CI90" s="1965"/>
      <c r="CJ90" s="2713">
        <f t="shared" si="114"/>
        <v>0</v>
      </c>
      <c r="CK90" s="2713">
        <f t="shared" si="102"/>
        <v>0</v>
      </c>
      <c r="CL90" s="2713">
        <f t="shared" si="103"/>
        <v>0</v>
      </c>
      <c r="CM90" s="2713">
        <f t="shared" si="104"/>
        <v>0</v>
      </c>
      <c r="CN90" s="2713">
        <f t="shared" si="105"/>
        <v>0</v>
      </c>
      <c r="CO90" s="2713">
        <f t="shared" si="106"/>
        <v>0</v>
      </c>
      <c r="CP90" s="2713">
        <f t="shared" si="107"/>
        <v>0</v>
      </c>
      <c r="CQ90" s="2713">
        <f t="shared" si="108"/>
        <v>0</v>
      </c>
      <c r="CR90" s="2713">
        <f t="shared" si="109"/>
        <v>0</v>
      </c>
      <c r="CS90" s="2713">
        <f t="shared" si="110"/>
        <v>0</v>
      </c>
      <c r="CT90" s="2713">
        <f t="shared" si="111"/>
        <v>0</v>
      </c>
      <c r="CU90" s="2713">
        <f t="shared" si="112"/>
        <v>0</v>
      </c>
      <c r="CV90" s="2713">
        <f t="shared" si="113"/>
        <v>0</v>
      </c>
      <c r="CX90" s="1961" t="s">
        <v>266</v>
      </c>
      <c r="CY90" s="697" t="s">
        <v>2075</v>
      </c>
      <c r="CZ90" s="1965" t="s">
        <v>81</v>
      </c>
      <c r="DA90" s="2909">
        <f t="shared" si="115"/>
        <v>0</v>
      </c>
      <c r="DB90" s="2909"/>
      <c r="DC90" s="2909"/>
      <c r="DD90" s="2909"/>
      <c r="DE90" s="2909"/>
      <c r="DF90" s="2909"/>
      <c r="DG90" s="2909"/>
      <c r="DH90" s="2909"/>
      <c r="DI90" s="2909"/>
      <c r="DJ90" s="2909"/>
      <c r="DK90" s="2909"/>
      <c r="DL90" s="2909"/>
      <c r="DM90" s="2909"/>
    </row>
    <row r="91" spans="2:117" hidden="1">
      <c r="B91" s="1916" t="str">
        <f t="shared" si="116"/>
        <v>2.3.2</v>
      </c>
      <c r="C91" s="3000">
        <f t="shared" si="93"/>
        <v>0</v>
      </c>
      <c r="D91" s="1926" t="e">
        <f t="shared" ref="D91:D92" si="118">IF(I$89&gt;0,G91/I$89,0)</f>
        <v>#DIV/0!</v>
      </c>
      <c r="E91" s="1926" t="e">
        <f>IF(J$89&gt;0,H91/J$89,0)</f>
        <v>#DIV/0!</v>
      </c>
      <c r="G91" s="1936" t="e">
        <f t="shared" si="98"/>
        <v>#DIV/0!</v>
      </c>
      <c r="H91" s="1936" t="e">
        <f t="shared" si="99"/>
        <v>#DIV/0!</v>
      </c>
      <c r="I91" s="1936"/>
      <c r="J91" s="1936"/>
      <c r="K91" s="1936">
        <f>IF(スコア!O91=0,0,1)</f>
        <v>1</v>
      </c>
      <c r="L91" s="1936">
        <f>IF(スコア!R95=0,0,1)</f>
        <v>0</v>
      </c>
      <c r="M91" s="1936" t="e">
        <f t="shared" si="100"/>
        <v>#DIV/0!</v>
      </c>
      <c r="N91" s="1936" t="e">
        <f t="shared" si="101"/>
        <v>#DIV/0!</v>
      </c>
      <c r="P91" s="1937" t="str">
        <f t="shared" si="94"/>
        <v>2.3.2</v>
      </c>
      <c r="Q91" s="1937" t="str">
        <f t="shared" si="95"/>
        <v xml:space="preserve"> Q2 2.3</v>
      </c>
      <c r="R91" s="1938">
        <f t="shared" si="96"/>
        <v>0</v>
      </c>
      <c r="S91" s="2799">
        <f t="shared" si="74"/>
        <v>0</v>
      </c>
      <c r="T91" s="2799">
        <f t="shared" si="75"/>
        <v>0</v>
      </c>
      <c r="U91" s="2799">
        <f t="shared" si="76"/>
        <v>0</v>
      </c>
      <c r="V91" s="2799">
        <f t="shared" si="77"/>
        <v>0</v>
      </c>
      <c r="W91" s="2799">
        <f t="shared" si="78"/>
        <v>0</v>
      </c>
      <c r="X91" s="2799">
        <f t="shared" si="79"/>
        <v>0</v>
      </c>
      <c r="Y91" s="2799">
        <f t="shared" si="80"/>
        <v>0</v>
      </c>
      <c r="Z91" s="2801">
        <f t="shared" si="81"/>
        <v>0</v>
      </c>
      <c r="AA91" s="2799">
        <f t="shared" si="82"/>
        <v>0</v>
      </c>
      <c r="AB91" s="2799">
        <f t="shared" si="83"/>
        <v>0</v>
      </c>
      <c r="AC91" s="2800">
        <f t="shared" si="84"/>
        <v>0</v>
      </c>
      <c r="AD91" s="2799">
        <f t="shared" si="85"/>
        <v>0</v>
      </c>
      <c r="AE91" s="2799">
        <f t="shared" si="86"/>
        <v>0</v>
      </c>
      <c r="AG91" s="1937" t="s">
        <v>2747</v>
      </c>
      <c r="AH91" s="1937" t="s">
        <v>2748</v>
      </c>
      <c r="AI91" s="1941" t="s">
        <v>82</v>
      </c>
      <c r="AJ91" s="1977">
        <v>0.33333333333333331</v>
      </c>
      <c r="AK91" s="1977">
        <v>0.33333333333333331</v>
      </c>
      <c r="AL91" s="1977">
        <v>0.33333333333333331</v>
      </c>
      <c r="AM91" s="1977">
        <v>0.33333333333333331</v>
      </c>
      <c r="AN91" s="1977">
        <v>0.33333333333333331</v>
      </c>
      <c r="AO91" s="1977">
        <v>0.33333333333333331</v>
      </c>
      <c r="AP91" s="1977">
        <v>0.33333333333333331</v>
      </c>
      <c r="AQ91" s="1977">
        <v>0.33333333333333331</v>
      </c>
      <c r="AR91" s="1977">
        <v>0.33333333333333331</v>
      </c>
      <c r="AS91" s="1944">
        <v>0.33333333333333331</v>
      </c>
      <c r="AT91" s="1944"/>
      <c r="AU91" s="1945"/>
      <c r="AV91" s="1944"/>
      <c r="AX91" s="1961" t="s">
        <v>1388</v>
      </c>
      <c r="AY91" s="697" t="s">
        <v>2075</v>
      </c>
      <c r="AZ91" s="1965" t="s">
        <v>2050</v>
      </c>
      <c r="BA91" s="1966">
        <v>0</v>
      </c>
      <c r="BB91" s="1966">
        <v>0</v>
      </c>
      <c r="BC91" s="1966">
        <v>0</v>
      </c>
      <c r="BD91" s="1966">
        <v>0</v>
      </c>
      <c r="BE91" s="1966">
        <v>0</v>
      </c>
      <c r="BF91" s="1966">
        <v>0</v>
      </c>
      <c r="BG91" s="1966">
        <v>0</v>
      </c>
      <c r="BH91" s="1966">
        <v>0</v>
      </c>
      <c r="BI91" s="1966">
        <v>0</v>
      </c>
      <c r="BJ91" s="1966">
        <v>0</v>
      </c>
      <c r="BK91" s="1968"/>
      <c r="BL91" s="1966"/>
      <c r="BM91" s="1966"/>
      <c r="BO91" s="1961" t="s">
        <v>1388</v>
      </c>
      <c r="BP91" s="697" t="s">
        <v>2075</v>
      </c>
      <c r="BQ91" s="1965"/>
      <c r="BR91" s="1966">
        <v>0</v>
      </c>
      <c r="BS91" s="1966">
        <v>0</v>
      </c>
      <c r="BT91" s="1966">
        <v>0</v>
      </c>
      <c r="BU91" s="1966">
        <v>0</v>
      </c>
      <c r="BV91" s="1966">
        <v>0</v>
      </c>
      <c r="BW91" s="1966">
        <v>0</v>
      </c>
      <c r="BX91" s="1966">
        <v>0</v>
      </c>
      <c r="BY91" s="1966">
        <v>0</v>
      </c>
      <c r="BZ91" s="1966">
        <v>0</v>
      </c>
      <c r="CA91" s="1966">
        <v>0</v>
      </c>
      <c r="CB91" s="1966"/>
      <c r="CC91" s="1966"/>
      <c r="CD91" s="1966"/>
      <c r="CE91" s="2272"/>
      <c r="CG91" s="1961" t="s">
        <v>268</v>
      </c>
      <c r="CH91" s="697" t="s">
        <v>2075</v>
      </c>
      <c r="CI91" s="1965"/>
      <c r="CJ91" s="2713">
        <f t="shared" si="114"/>
        <v>0</v>
      </c>
      <c r="CK91" s="2713">
        <f t="shared" si="102"/>
        <v>0</v>
      </c>
      <c r="CL91" s="2713">
        <f t="shared" si="103"/>
        <v>0</v>
      </c>
      <c r="CM91" s="2713">
        <f t="shared" si="104"/>
        <v>0</v>
      </c>
      <c r="CN91" s="2713">
        <f t="shared" si="105"/>
        <v>0</v>
      </c>
      <c r="CO91" s="2713">
        <f t="shared" si="106"/>
        <v>0</v>
      </c>
      <c r="CP91" s="2713">
        <f t="shared" si="107"/>
        <v>0</v>
      </c>
      <c r="CQ91" s="2713">
        <f t="shared" si="108"/>
        <v>0</v>
      </c>
      <c r="CR91" s="2713">
        <f t="shared" si="109"/>
        <v>0</v>
      </c>
      <c r="CS91" s="2713">
        <f t="shared" si="110"/>
        <v>0</v>
      </c>
      <c r="CT91" s="2713">
        <f t="shared" si="111"/>
        <v>0</v>
      </c>
      <c r="CU91" s="2713">
        <f t="shared" si="112"/>
        <v>0</v>
      </c>
      <c r="CV91" s="2713">
        <f t="shared" si="113"/>
        <v>0</v>
      </c>
      <c r="CX91" s="1961" t="s">
        <v>268</v>
      </c>
      <c r="CY91" s="697" t="s">
        <v>2075</v>
      </c>
      <c r="CZ91" s="1965" t="s">
        <v>82</v>
      </c>
      <c r="DA91" s="2909">
        <f t="shared" si="115"/>
        <v>0</v>
      </c>
      <c r="DB91" s="2909"/>
      <c r="DC91" s="2909"/>
      <c r="DD91" s="2909"/>
      <c r="DE91" s="2909"/>
      <c r="DF91" s="2909"/>
      <c r="DG91" s="2909"/>
      <c r="DH91" s="2909"/>
      <c r="DI91" s="2909"/>
      <c r="DJ91" s="2909"/>
      <c r="DK91" s="2909"/>
      <c r="DL91" s="2909"/>
      <c r="DM91" s="2909"/>
    </row>
    <row r="92" spans="2:117" hidden="1">
      <c r="B92" s="1916" t="str">
        <f t="shared" si="116"/>
        <v>2.3.3</v>
      </c>
      <c r="C92" s="3000">
        <f t="shared" si="93"/>
        <v>0</v>
      </c>
      <c r="D92" s="1926" t="e">
        <f t="shared" si="118"/>
        <v>#DIV/0!</v>
      </c>
      <c r="E92" s="1926" t="e">
        <f>IF(J$89&gt;0,H92/J$89,0)</f>
        <v>#DIV/0!</v>
      </c>
      <c r="G92" s="1936" t="e">
        <f t="shared" si="98"/>
        <v>#DIV/0!</v>
      </c>
      <c r="H92" s="1936" t="e">
        <f t="shared" si="99"/>
        <v>#DIV/0!</v>
      </c>
      <c r="I92" s="1936"/>
      <c r="J92" s="1936"/>
      <c r="K92" s="1936">
        <f>IF(スコア!O92=0,0,1)</f>
        <v>1</v>
      </c>
      <c r="L92" s="1936">
        <f>IF(スコア!R96=0,0,1)</f>
        <v>0</v>
      </c>
      <c r="M92" s="1936" t="e">
        <f t="shared" si="100"/>
        <v>#DIV/0!</v>
      </c>
      <c r="N92" s="1936" t="e">
        <f t="shared" si="101"/>
        <v>#DIV/0!</v>
      </c>
      <c r="P92" s="1937" t="str">
        <f t="shared" si="94"/>
        <v>2.3.3</v>
      </c>
      <c r="Q92" s="1937" t="str">
        <f t="shared" si="95"/>
        <v xml:space="preserve"> Q2 2.3</v>
      </c>
      <c r="R92" s="1938">
        <f t="shared" si="96"/>
        <v>0</v>
      </c>
      <c r="S92" s="2799">
        <f t="shared" si="74"/>
        <v>0</v>
      </c>
      <c r="T92" s="2799">
        <f t="shared" si="75"/>
        <v>0</v>
      </c>
      <c r="U92" s="2799">
        <f t="shared" si="76"/>
        <v>0</v>
      </c>
      <c r="V92" s="2799">
        <f t="shared" si="77"/>
        <v>0</v>
      </c>
      <c r="W92" s="2799">
        <f t="shared" si="78"/>
        <v>0</v>
      </c>
      <c r="X92" s="2799">
        <f t="shared" si="79"/>
        <v>0</v>
      </c>
      <c r="Y92" s="2799">
        <f t="shared" si="80"/>
        <v>0</v>
      </c>
      <c r="Z92" s="2801">
        <f t="shared" si="81"/>
        <v>0</v>
      </c>
      <c r="AA92" s="2799">
        <f t="shared" si="82"/>
        <v>0</v>
      </c>
      <c r="AB92" s="2799">
        <f t="shared" si="83"/>
        <v>0</v>
      </c>
      <c r="AC92" s="2800">
        <f t="shared" si="84"/>
        <v>0</v>
      </c>
      <c r="AD92" s="2799">
        <f t="shared" si="85"/>
        <v>0</v>
      </c>
      <c r="AE92" s="2799">
        <f t="shared" si="86"/>
        <v>0</v>
      </c>
      <c r="AG92" s="1937" t="s">
        <v>1389</v>
      </c>
      <c r="AH92" s="1937" t="s">
        <v>1390</v>
      </c>
      <c r="AI92" s="1941" t="s">
        <v>2076</v>
      </c>
      <c r="AJ92" s="1977">
        <v>0.33333333333333331</v>
      </c>
      <c r="AK92" s="1977">
        <v>0.33333333333333331</v>
      </c>
      <c r="AL92" s="1977">
        <v>0.33333333333333331</v>
      </c>
      <c r="AM92" s="1977">
        <v>0.33333333333333331</v>
      </c>
      <c r="AN92" s="1977">
        <v>0.33333333333333331</v>
      </c>
      <c r="AO92" s="1977">
        <v>0.33333333333333331</v>
      </c>
      <c r="AP92" s="1977">
        <v>0.33333333333333331</v>
      </c>
      <c r="AQ92" s="1977">
        <v>0.33333333333333331</v>
      </c>
      <c r="AR92" s="1977">
        <v>0.33333333333333331</v>
      </c>
      <c r="AS92" s="1944">
        <v>0.33333333333333331</v>
      </c>
      <c r="AT92" s="1944"/>
      <c r="AU92" s="1945"/>
      <c r="AV92" s="1944"/>
      <c r="AX92" s="1961" t="s">
        <v>1391</v>
      </c>
      <c r="AY92" s="697" t="s">
        <v>2075</v>
      </c>
      <c r="AZ92" s="1965" t="s">
        <v>2051</v>
      </c>
      <c r="BA92" s="1966">
        <v>0</v>
      </c>
      <c r="BB92" s="1966">
        <v>0</v>
      </c>
      <c r="BC92" s="1966">
        <v>0</v>
      </c>
      <c r="BD92" s="1966">
        <v>0</v>
      </c>
      <c r="BE92" s="1966">
        <v>0</v>
      </c>
      <c r="BF92" s="1966">
        <v>0</v>
      </c>
      <c r="BG92" s="1966">
        <v>0</v>
      </c>
      <c r="BH92" s="1966">
        <v>0</v>
      </c>
      <c r="BI92" s="1966">
        <v>0</v>
      </c>
      <c r="BJ92" s="1966">
        <v>0</v>
      </c>
      <c r="BK92" s="1968"/>
      <c r="BL92" s="1966"/>
      <c r="BM92" s="1966"/>
      <c r="BO92" s="1961" t="s">
        <v>1391</v>
      </c>
      <c r="BP92" s="697" t="s">
        <v>2075</v>
      </c>
      <c r="BQ92" s="1965"/>
      <c r="BR92" s="1966">
        <v>0</v>
      </c>
      <c r="BS92" s="1966">
        <v>0</v>
      </c>
      <c r="BT92" s="1966">
        <v>0</v>
      </c>
      <c r="BU92" s="1966">
        <v>0</v>
      </c>
      <c r="BV92" s="1966">
        <v>0</v>
      </c>
      <c r="BW92" s="1966">
        <v>0</v>
      </c>
      <c r="BX92" s="1966">
        <v>0</v>
      </c>
      <c r="BY92" s="1966">
        <v>0</v>
      </c>
      <c r="BZ92" s="1966">
        <v>0</v>
      </c>
      <c r="CA92" s="1966">
        <v>0</v>
      </c>
      <c r="CB92" s="1966"/>
      <c r="CC92" s="1966"/>
      <c r="CD92" s="1966"/>
      <c r="CE92" s="2272"/>
      <c r="CG92" s="1961" t="s">
        <v>1389</v>
      </c>
      <c r="CH92" s="697" t="s">
        <v>2075</v>
      </c>
      <c r="CI92" s="1965"/>
      <c r="CJ92" s="2713">
        <f t="shared" si="114"/>
        <v>0</v>
      </c>
      <c r="CK92" s="2713">
        <f t="shared" si="102"/>
        <v>0</v>
      </c>
      <c r="CL92" s="2713">
        <f t="shared" si="103"/>
        <v>0</v>
      </c>
      <c r="CM92" s="2713">
        <f t="shared" si="104"/>
        <v>0</v>
      </c>
      <c r="CN92" s="2713">
        <f t="shared" si="105"/>
        <v>0</v>
      </c>
      <c r="CO92" s="2713">
        <f t="shared" si="106"/>
        <v>0</v>
      </c>
      <c r="CP92" s="2713">
        <f t="shared" si="107"/>
        <v>0</v>
      </c>
      <c r="CQ92" s="2713">
        <f t="shared" si="108"/>
        <v>0</v>
      </c>
      <c r="CR92" s="2713">
        <f t="shared" si="109"/>
        <v>0</v>
      </c>
      <c r="CS92" s="2713">
        <f t="shared" si="110"/>
        <v>0</v>
      </c>
      <c r="CT92" s="2713">
        <f t="shared" si="111"/>
        <v>0</v>
      </c>
      <c r="CU92" s="2713">
        <f t="shared" si="112"/>
        <v>0</v>
      </c>
      <c r="CV92" s="2713">
        <f t="shared" si="113"/>
        <v>0</v>
      </c>
      <c r="CX92" s="1961" t="s">
        <v>1389</v>
      </c>
      <c r="CY92" s="697" t="s">
        <v>2075</v>
      </c>
      <c r="CZ92" s="1965" t="s">
        <v>2076</v>
      </c>
      <c r="DA92" s="2909">
        <f t="shared" si="115"/>
        <v>0</v>
      </c>
      <c r="DB92" s="2909"/>
      <c r="DC92" s="2909"/>
      <c r="DD92" s="2909"/>
      <c r="DE92" s="2909"/>
      <c r="DF92" s="2909"/>
      <c r="DG92" s="2909"/>
      <c r="DH92" s="2909"/>
      <c r="DI92" s="2909"/>
      <c r="DJ92" s="2909"/>
      <c r="DK92" s="2909"/>
      <c r="DL92" s="2909"/>
      <c r="DM92" s="2909"/>
    </row>
    <row r="93" spans="2:117">
      <c r="B93" s="1916">
        <f t="shared" si="116"/>
        <v>2.4</v>
      </c>
      <c r="C93" s="1938" t="str">
        <f t="shared" si="93"/>
        <v>信頼性</v>
      </c>
      <c r="D93" s="1935" t="e">
        <f>IF(I$78=0,0,G93/I$78)</f>
        <v>#DIV/0!</v>
      </c>
      <c r="E93" s="1936" t="e">
        <f>IF(J$78=0,0,H93/J$78)</f>
        <v>#DIV/0!</v>
      </c>
      <c r="G93" s="1936" t="e">
        <f t="shared" si="98"/>
        <v>#DIV/0!</v>
      </c>
      <c r="H93" s="1936" t="e">
        <f t="shared" si="99"/>
        <v>#DIV/0!</v>
      </c>
      <c r="I93" s="1936" t="e">
        <f>SUM(G94:G98)</f>
        <v>#DIV/0!</v>
      </c>
      <c r="J93" s="1936" t="e">
        <f>SUM(H94:H98)</f>
        <v>#DIV/0!</v>
      </c>
      <c r="K93" s="1936" t="e">
        <f>IF(スコア!O93=0,0,1)</f>
        <v>#DIV/0!</v>
      </c>
      <c r="L93" s="1936" t="e">
        <f>IF(スコア!R93=0,0,1)</f>
        <v>#DIV/0!</v>
      </c>
      <c r="M93" s="1936" t="e">
        <f t="shared" si="100"/>
        <v>#DIV/0!</v>
      </c>
      <c r="N93" s="1936" t="e">
        <f t="shared" si="101"/>
        <v>#DIV/0!</v>
      </c>
      <c r="P93" s="1937">
        <f t="shared" si="94"/>
        <v>2.4</v>
      </c>
      <c r="Q93" s="1937" t="str">
        <f t="shared" si="95"/>
        <v xml:space="preserve"> Q2 2</v>
      </c>
      <c r="R93" s="1938" t="str">
        <f t="shared" si="96"/>
        <v>信頼性</v>
      </c>
      <c r="S93" s="2799">
        <f t="shared" si="74"/>
        <v>0.2</v>
      </c>
      <c r="T93" s="2799">
        <f t="shared" si="75"/>
        <v>0.2</v>
      </c>
      <c r="U93" s="2799">
        <f t="shared" si="76"/>
        <v>0.2</v>
      </c>
      <c r="V93" s="2799">
        <f t="shared" si="77"/>
        <v>0.2</v>
      </c>
      <c r="W93" s="2799">
        <f t="shared" si="78"/>
        <v>0.2</v>
      </c>
      <c r="X93" s="2799">
        <f t="shared" si="79"/>
        <v>0.2</v>
      </c>
      <c r="Y93" s="2799">
        <f t="shared" si="80"/>
        <v>0.2</v>
      </c>
      <c r="Z93" s="2801">
        <f t="shared" si="81"/>
        <v>0.2</v>
      </c>
      <c r="AA93" s="2799">
        <f t="shared" si="82"/>
        <v>0.2</v>
      </c>
      <c r="AB93" s="2799">
        <f t="shared" si="83"/>
        <v>0.2</v>
      </c>
      <c r="AC93" s="2800">
        <f t="shared" si="84"/>
        <v>0</v>
      </c>
      <c r="AD93" s="2799">
        <f t="shared" si="85"/>
        <v>0</v>
      </c>
      <c r="AE93" s="2799">
        <f t="shared" si="86"/>
        <v>0</v>
      </c>
      <c r="AG93" s="1937">
        <v>2.4</v>
      </c>
      <c r="AH93" s="1941" t="s">
        <v>2065</v>
      </c>
      <c r="AI93" s="1938" t="s">
        <v>84</v>
      </c>
      <c r="AJ93" s="1939">
        <v>0.25</v>
      </c>
      <c r="AK93" s="1939">
        <v>0.25</v>
      </c>
      <c r="AL93" s="1939">
        <v>0.25</v>
      </c>
      <c r="AM93" s="1939">
        <v>0.25</v>
      </c>
      <c r="AN93" s="1939">
        <v>0.25</v>
      </c>
      <c r="AO93" s="1939">
        <v>0.25</v>
      </c>
      <c r="AP93" s="1939">
        <v>0.25</v>
      </c>
      <c r="AQ93" s="1948">
        <v>0.25</v>
      </c>
      <c r="AR93" s="1939">
        <v>0.25</v>
      </c>
      <c r="AS93" s="1944">
        <v>0.25</v>
      </c>
      <c r="AT93" s="1945">
        <v>0</v>
      </c>
      <c r="AU93" s="1944">
        <v>0</v>
      </c>
      <c r="AV93" s="1944">
        <v>0</v>
      </c>
      <c r="AX93" s="1937">
        <v>2.4</v>
      </c>
      <c r="AY93" s="1941" t="s">
        <v>2065</v>
      </c>
      <c r="AZ93" s="1938" t="s">
        <v>2052</v>
      </c>
      <c r="BA93" s="1944">
        <v>0.2</v>
      </c>
      <c r="BB93" s="1944">
        <v>0.2</v>
      </c>
      <c r="BC93" s="1944">
        <v>0.2</v>
      </c>
      <c r="BD93" s="1944">
        <v>0.2</v>
      </c>
      <c r="BE93" s="1944">
        <v>0.2</v>
      </c>
      <c r="BF93" s="1944">
        <v>0.2</v>
      </c>
      <c r="BG93" s="1944">
        <v>0.2</v>
      </c>
      <c r="BH93" s="1951">
        <v>0.2</v>
      </c>
      <c r="BI93" s="1944">
        <v>0.2</v>
      </c>
      <c r="BJ93" s="1944">
        <v>0.2</v>
      </c>
      <c r="BK93" s="1945"/>
      <c r="BL93" s="1944"/>
      <c r="BM93" s="1944"/>
      <c r="BO93" s="1937">
        <v>2.4</v>
      </c>
      <c r="BP93" s="1941" t="s">
        <v>2065</v>
      </c>
      <c r="BQ93" s="1938" t="s">
        <v>84</v>
      </c>
      <c r="BR93" s="1944">
        <v>0.2</v>
      </c>
      <c r="BS93" s="1944">
        <v>0.2</v>
      </c>
      <c r="BT93" s="1944">
        <v>0.2</v>
      </c>
      <c r="BU93" s="1944">
        <v>0.2</v>
      </c>
      <c r="BV93" s="1944">
        <v>0.2</v>
      </c>
      <c r="BW93" s="1944">
        <v>0.2</v>
      </c>
      <c r="BX93" s="1944">
        <v>0.2</v>
      </c>
      <c r="BY93" s="1951">
        <v>0.2</v>
      </c>
      <c r="BZ93" s="1944">
        <v>0.2</v>
      </c>
      <c r="CA93" s="1944">
        <v>0.2</v>
      </c>
      <c r="CB93" s="1945"/>
      <c r="CC93" s="1944"/>
      <c r="CD93" s="1944"/>
      <c r="CE93" s="2272"/>
      <c r="CG93" s="1937">
        <v>2.4</v>
      </c>
      <c r="CH93" s="1941" t="s">
        <v>2065</v>
      </c>
      <c r="CI93" s="1938" t="s">
        <v>84</v>
      </c>
      <c r="CJ93" s="2695">
        <v>0.1</v>
      </c>
      <c r="CK93" s="2695">
        <v>0.1</v>
      </c>
      <c r="CL93" s="2695">
        <v>0.1</v>
      </c>
      <c r="CM93" s="2695">
        <v>0.1</v>
      </c>
      <c r="CN93" s="2695">
        <v>0.1</v>
      </c>
      <c r="CO93" s="2695">
        <v>0.1</v>
      </c>
      <c r="CP93" s="2695">
        <v>0.1</v>
      </c>
      <c r="CQ93" s="2695">
        <v>0.1</v>
      </c>
      <c r="CR93" s="2695">
        <v>0.1</v>
      </c>
      <c r="CS93" s="2695">
        <v>0.1</v>
      </c>
      <c r="CT93" s="2708">
        <f t="shared" si="111"/>
        <v>0</v>
      </c>
      <c r="CU93" s="2706">
        <f t="shared" si="112"/>
        <v>0</v>
      </c>
      <c r="CV93" s="2706">
        <f t="shared" si="113"/>
        <v>0</v>
      </c>
      <c r="CX93" s="1937">
        <v>2.4</v>
      </c>
      <c r="CY93" s="1941" t="s">
        <v>2065</v>
      </c>
      <c r="CZ93" s="1938" t="s">
        <v>84</v>
      </c>
      <c r="DA93" s="2924">
        <v>0.6</v>
      </c>
      <c r="DB93" s="2695"/>
      <c r="DC93" s="2695"/>
      <c r="DD93" s="2695"/>
      <c r="DE93" s="2695"/>
      <c r="DF93" s="2695"/>
      <c r="DG93" s="2695"/>
      <c r="DH93" s="2778"/>
      <c r="DI93" s="2695"/>
      <c r="DJ93" s="2695"/>
      <c r="DK93" s="2905"/>
      <c r="DL93" s="2695"/>
      <c r="DM93" s="2695"/>
    </row>
    <row r="94" spans="2:117">
      <c r="B94" s="1916" t="str">
        <f t="shared" si="116"/>
        <v>2.4.1</v>
      </c>
      <c r="C94" s="1938" t="str">
        <f t="shared" si="93"/>
        <v>空調・換気設備</v>
      </c>
      <c r="D94" s="1926" t="e">
        <f>IF(I$93&gt;0,G94/I$93,0)</f>
        <v>#DIV/0!</v>
      </c>
      <c r="E94" s="1936" t="e">
        <f t="shared" ref="D94:E98" si="119">IF(J$93&gt;0,H94/J$93,0)</f>
        <v>#DIV/0!</v>
      </c>
      <c r="G94" s="1936" t="e">
        <f t="shared" si="98"/>
        <v>#DIV/0!</v>
      </c>
      <c r="H94" s="1936" t="e">
        <f t="shared" si="99"/>
        <v>#DIV/0!</v>
      </c>
      <c r="I94" s="1936"/>
      <c r="J94" s="1936"/>
      <c r="K94" s="1936" t="e">
        <f>IF(スコア!O94=0,0,1)</f>
        <v>#DIV/0!</v>
      </c>
      <c r="L94" s="1936">
        <f>IF(スコア!R94=0,0,1)</f>
        <v>0</v>
      </c>
      <c r="M94" s="1936" t="e">
        <f t="shared" si="100"/>
        <v>#DIV/0!</v>
      </c>
      <c r="N94" s="1936" t="e">
        <f t="shared" si="101"/>
        <v>#DIV/0!</v>
      </c>
      <c r="P94" s="1937" t="str">
        <f t="shared" si="94"/>
        <v>2.4.1</v>
      </c>
      <c r="Q94" s="1937" t="str">
        <f t="shared" si="95"/>
        <v xml:space="preserve"> Q2 2.4</v>
      </c>
      <c r="R94" s="1938" t="str">
        <f t="shared" si="96"/>
        <v>空調・換気設備</v>
      </c>
      <c r="S94" s="2799">
        <f t="shared" si="74"/>
        <v>0.2</v>
      </c>
      <c r="T94" s="2799">
        <f t="shared" si="75"/>
        <v>0.2</v>
      </c>
      <c r="U94" s="2799">
        <f t="shared" si="76"/>
        <v>0.2</v>
      </c>
      <c r="V94" s="2799">
        <f t="shared" si="77"/>
        <v>0.2</v>
      </c>
      <c r="W94" s="2799">
        <f t="shared" si="78"/>
        <v>0.2</v>
      </c>
      <c r="X94" s="2799">
        <f t="shared" si="79"/>
        <v>0.2</v>
      </c>
      <c r="Y94" s="2799">
        <f t="shared" si="80"/>
        <v>0.2</v>
      </c>
      <c r="Z94" s="2801">
        <f t="shared" si="81"/>
        <v>0.2</v>
      </c>
      <c r="AA94" s="2799">
        <f t="shared" si="82"/>
        <v>0.2</v>
      </c>
      <c r="AB94" s="2799">
        <f t="shared" si="83"/>
        <v>0.2</v>
      </c>
      <c r="AC94" s="2800">
        <f t="shared" si="84"/>
        <v>0</v>
      </c>
      <c r="AD94" s="2799">
        <f t="shared" si="85"/>
        <v>0</v>
      </c>
      <c r="AE94" s="2799">
        <f t="shared" si="86"/>
        <v>0</v>
      </c>
      <c r="AG94" s="1937" t="s">
        <v>1392</v>
      </c>
      <c r="AH94" s="1941" t="s">
        <v>2077</v>
      </c>
      <c r="AI94" s="1942" t="s">
        <v>2078</v>
      </c>
      <c r="AJ94" s="1939">
        <v>0.2</v>
      </c>
      <c r="AK94" s="1939">
        <v>0.2</v>
      </c>
      <c r="AL94" s="1939">
        <v>0.2</v>
      </c>
      <c r="AM94" s="1939">
        <v>0.2</v>
      </c>
      <c r="AN94" s="1939">
        <v>0.2</v>
      </c>
      <c r="AO94" s="1939">
        <v>0.2</v>
      </c>
      <c r="AP94" s="1939">
        <v>0.2</v>
      </c>
      <c r="AQ94" s="1948">
        <v>0.2</v>
      </c>
      <c r="AR94" s="1939">
        <v>0.2</v>
      </c>
      <c r="AS94" s="1944">
        <v>0.2</v>
      </c>
      <c r="AT94" s="1945">
        <v>0</v>
      </c>
      <c r="AU94" s="1944">
        <v>0</v>
      </c>
      <c r="AV94" s="1944">
        <v>0</v>
      </c>
      <c r="AX94" s="1937" t="s">
        <v>1392</v>
      </c>
      <c r="AY94" s="1941" t="s">
        <v>2077</v>
      </c>
      <c r="AZ94" s="1942" t="s">
        <v>2078</v>
      </c>
      <c r="BA94" s="1944">
        <v>0.2</v>
      </c>
      <c r="BB94" s="1944">
        <v>0.2</v>
      </c>
      <c r="BC94" s="1944">
        <v>0.2</v>
      </c>
      <c r="BD94" s="1944">
        <v>0.2</v>
      </c>
      <c r="BE94" s="1944">
        <v>0.2</v>
      </c>
      <c r="BF94" s="1944">
        <v>0.2</v>
      </c>
      <c r="BG94" s="1944">
        <v>0.2</v>
      </c>
      <c r="BH94" s="1951">
        <v>0.2</v>
      </c>
      <c r="BI94" s="1944">
        <v>0.2</v>
      </c>
      <c r="BJ94" s="1944">
        <v>0.2</v>
      </c>
      <c r="BK94" s="1945"/>
      <c r="BL94" s="1944"/>
      <c r="BM94" s="1944"/>
      <c r="BO94" s="1937" t="s">
        <v>1392</v>
      </c>
      <c r="BP94" s="1941" t="s">
        <v>2077</v>
      </c>
      <c r="BQ94" s="1942" t="s">
        <v>2078</v>
      </c>
      <c r="BR94" s="1944">
        <v>0.2</v>
      </c>
      <c r="BS94" s="1944">
        <v>0.2</v>
      </c>
      <c r="BT94" s="1944">
        <v>0.2</v>
      </c>
      <c r="BU94" s="1944">
        <v>0.2</v>
      </c>
      <c r="BV94" s="1944">
        <v>0.2</v>
      </c>
      <c r="BW94" s="1944">
        <v>0.2</v>
      </c>
      <c r="BX94" s="1944">
        <v>0.2</v>
      </c>
      <c r="BY94" s="1951">
        <v>0.2</v>
      </c>
      <c r="BZ94" s="1944">
        <v>0.2</v>
      </c>
      <c r="CA94" s="1944">
        <v>0.2</v>
      </c>
      <c r="CB94" s="1945"/>
      <c r="CC94" s="1944"/>
      <c r="CD94" s="1944"/>
      <c r="CE94" s="2272"/>
      <c r="CG94" s="1937" t="s">
        <v>1392</v>
      </c>
      <c r="CH94" s="1941" t="s">
        <v>2077</v>
      </c>
      <c r="CI94" s="1942" t="s">
        <v>2078</v>
      </c>
      <c r="CJ94" s="2706">
        <v>0</v>
      </c>
      <c r="CK94" s="2706">
        <v>0</v>
      </c>
      <c r="CL94" s="2706">
        <v>0</v>
      </c>
      <c r="CM94" s="2706">
        <v>0</v>
      </c>
      <c r="CN94" s="2706">
        <v>0</v>
      </c>
      <c r="CO94" s="2706">
        <v>0</v>
      </c>
      <c r="CP94" s="2706">
        <v>0</v>
      </c>
      <c r="CQ94" s="2706">
        <v>0</v>
      </c>
      <c r="CR94" s="2706">
        <v>0</v>
      </c>
      <c r="CS94" s="2706">
        <v>0</v>
      </c>
      <c r="CT94" s="2708">
        <f t="shared" si="111"/>
        <v>0</v>
      </c>
      <c r="CU94" s="2706">
        <f t="shared" si="112"/>
        <v>0</v>
      </c>
      <c r="CV94" s="2706">
        <f t="shared" si="113"/>
        <v>0</v>
      </c>
      <c r="CX94" s="1937" t="s">
        <v>1392</v>
      </c>
      <c r="CY94" s="1941" t="s">
        <v>2077</v>
      </c>
      <c r="CZ94" s="1942" t="s">
        <v>2078</v>
      </c>
      <c r="DA94" s="2931">
        <v>0.15</v>
      </c>
      <c r="DB94" s="2695"/>
      <c r="DC94" s="2695"/>
      <c r="DD94" s="2695"/>
      <c r="DE94" s="2695"/>
      <c r="DF94" s="2695"/>
      <c r="DG94" s="2695"/>
      <c r="DH94" s="2695"/>
      <c r="DI94" s="2695"/>
      <c r="DJ94" s="2695"/>
      <c r="DK94" s="2905"/>
      <c r="DL94" s="2695"/>
      <c r="DM94" s="2695"/>
    </row>
    <row r="95" spans="2:117">
      <c r="B95" s="1916" t="str">
        <f t="shared" si="116"/>
        <v>2.4.2</v>
      </c>
      <c r="C95" s="1938" t="str">
        <f t="shared" si="93"/>
        <v>給排水・衛生設備</v>
      </c>
      <c r="D95" s="1926" t="e">
        <f t="shared" si="119"/>
        <v>#DIV/0!</v>
      </c>
      <c r="E95" s="1936" t="e">
        <f t="shared" si="119"/>
        <v>#DIV/0!</v>
      </c>
      <c r="G95" s="1936" t="e">
        <f t="shared" si="98"/>
        <v>#DIV/0!</v>
      </c>
      <c r="H95" s="1936" t="e">
        <f t="shared" si="99"/>
        <v>#DIV/0!</v>
      </c>
      <c r="I95" s="1936"/>
      <c r="J95" s="1936"/>
      <c r="K95" s="1936" t="e">
        <f>IF(スコア!O95=0,0,1)</f>
        <v>#DIV/0!</v>
      </c>
      <c r="L95" s="1936">
        <f>IF(スコア!R95=0,0,1)</f>
        <v>0</v>
      </c>
      <c r="M95" s="1936" t="e">
        <f t="shared" si="100"/>
        <v>#DIV/0!</v>
      </c>
      <c r="N95" s="1936" t="e">
        <f t="shared" si="101"/>
        <v>#DIV/0!</v>
      </c>
      <c r="P95" s="1937" t="str">
        <f t="shared" si="94"/>
        <v>2.4.2</v>
      </c>
      <c r="Q95" s="1937" t="str">
        <f t="shared" si="95"/>
        <v xml:space="preserve"> Q2 2.4</v>
      </c>
      <c r="R95" s="1938" t="str">
        <f t="shared" si="96"/>
        <v>給排水・衛生設備</v>
      </c>
      <c r="S95" s="2799">
        <f t="shared" si="74"/>
        <v>0.2</v>
      </c>
      <c r="T95" s="2799">
        <f t="shared" si="75"/>
        <v>0.2</v>
      </c>
      <c r="U95" s="2799">
        <f t="shared" si="76"/>
        <v>0.2</v>
      </c>
      <c r="V95" s="2799">
        <f t="shared" si="77"/>
        <v>0.2</v>
      </c>
      <c r="W95" s="2799">
        <f t="shared" si="78"/>
        <v>0.2</v>
      </c>
      <c r="X95" s="2799">
        <f t="shared" si="79"/>
        <v>0.2</v>
      </c>
      <c r="Y95" s="2799">
        <f t="shared" si="80"/>
        <v>0.2</v>
      </c>
      <c r="Z95" s="2801">
        <f t="shared" si="81"/>
        <v>0.2</v>
      </c>
      <c r="AA95" s="2799">
        <f t="shared" si="82"/>
        <v>0.2</v>
      </c>
      <c r="AB95" s="2799">
        <f t="shared" si="83"/>
        <v>0.2</v>
      </c>
      <c r="AC95" s="2800">
        <f t="shared" si="84"/>
        <v>0</v>
      </c>
      <c r="AD95" s="2799">
        <f t="shared" si="85"/>
        <v>0</v>
      </c>
      <c r="AE95" s="2799">
        <f t="shared" si="86"/>
        <v>0</v>
      </c>
      <c r="AG95" s="1937" t="s">
        <v>2079</v>
      </c>
      <c r="AH95" s="1941" t="s">
        <v>2077</v>
      </c>
      <c r="AI95" s="1942" t="s">
        <v>2080</v>
      </c>
      <c r="AJ95" s="1939">
        <v>0.2</v>
      </c>
      <c r="AK95" s="1939">
        <v>0.2</v>
      </c>
      <c r="AL95" s="1939">
        <v>0.2</v>
      </c>
      <c r="AM95" s="1939">
        <v>0.2</v>
      </c>
      <c r="AN95" s="1939">
        <v>0.2</v>
      </c>
      <c r="AO95" s="1939">
        <v>0.2</v>
      </c>
      <c r="AP95" s="1939">
        <v>0.2</v>
      </c>
      <c r="AQ95" s="1948">
        <v>0.2</v>
      </c>
      <c r="AR95" s="1939">
        <v>0.2</v>
      </c>
      <c r="AS95" s="1944">
        <v>0.2</v>
      </c>
      <c r="AT95" s="1945">
        <v>0</v>
      </c>
      <c r="AU95" s="1944">
        <v>0</v>
      </c>
      <c r="AV95" s="1944">
        <v>0</v>
      </c>
      <c r="AX95" s="1937" t="s">
        <v>2079</v>
      </c>
      <c r="AY95" s="1941" t="s">
        <v>2077</v>
      </c>
      <c r="AZ95" s="1942" t="s">
        <v>2080</v>
      </c>
      <c r="BA95" s="1944">
        <v>0.2</v>
      </c>
      <c r="BB95" s="1944">
        <v>0.2</v>
      </c>
      <c r="BC95" s="1944">
        <v>0.2</v>
      </c>
      <c r="BD95" s="1944">
        <v>0.2</v>
      </c>
      <c r="BE95" s="1944">
        <v>0.2</v>
      </c>
      <c r="BF95" s="1944">
        <v>0.2</v>
      </c>
      <c r="BG95" s="1944">
        <v>0.2</v>
      </c>
      <c r="BH95" s="1951">
        <v>0.2</v>
      </c>
      <c r="BI95" s="1944">
        <v>0.2</v>
      </c>
      <c r="BJ95" s="1944">
        <v>0.2</v>
      </c>
      <c r="BK95" s="1945"/>
      <c r="BL95" s="1944"/>
      <c r="BM95" s="1944"/>
      <c r="BO95" s="1937" t="s">
        <v>2079</v>
      </c>
      <c r="BP95" s="1941" t="s">
        <v>2077</v>
      </c>
      <c r="BQ95" s="1942" t="s">
        <v>2080</v>
      </c>
      <c r="BR95" s="1944">
        <v>0.2</v>
      </c>
      <c r="BS95" s="1944">
        <v>0.2</v>
      </c>
      <c r="BT95" s="1944">
        <v>0.2</v>
      </c>
      <c r="BU95" s="1944">
        <v>0.2</v>
      </c>
      <c r="BV95" s="1944">
        <v>0.2</v>
      </c>
      <c r="BW95" s="1944">
        <v>0.2</v>
      </c>
      <c r="BX95" s="1944">
        <v>0.2</v>
      </c>
      <c r="BY95" s="1951">
        <v>0.2</v>
      </c>
      <c r="BZ95" s="1944">
        <v>0.2</v>
      </c>
      <c r="CA95" s="1944">
        <v>0.2</v>
      </c>
      <c r="CB95" s="1945"/>
      <c r="CC95" s="1944"/>
      <c r="CD95" s="1944"/>
      <c r="CE95" s="2272"/>
      <c r="CG95" s="1937" t="s">
        <v>2079</v>
      </c>
      <c r="CH95" s="1941" t="s">
        <v>2077</v>
      </c>
      <c r="CI95" s="1942" t="s">
        <v>2080</v>
      </c>
      <c r="CJ95" s="2706">
        <v>0</v>
      </c>
      <c r="CK95" s="2706">
        <v>0</v>
      </c>
      <c r="CL95" s="2706">
        <v>0</v>
      </c>
      <c r="CM95" s="2706">
        <v>0</v>
      </c>
      <c r="CN95" s="2706">
        <v>0</v>
      </c>
      <c r="CO95" s="2706">
        <v>0</v>
      </c>
      <c r="CP95" s="2706">
        <v>0</v>
      </c>
      <c r="CQ95" s="2706">
        <v>0</v>
      </c>
      <c r="CR95" s="2706">
        <v>0</v>
      </c>
      <c r="CS95" s="2706">
        <v>0</v>
      </c>
      <c r="CT95" s="2708">
        <f t="shared" si="111"/>
        <v>0</v>
      </c>
      <c r="CU95" s="2706">
        <f t="shared" si="112"/>
        <v>0</v>
      </c>
      <c r="CV95" s="2706">
        <f t="shared" si="113"/>
        <v>0</v>
      </c>
      <c r="CX95" s="1937" t="s">
        <v>2079</v>
      </c>
      <c r="CY95" s="1941" t="s">
        <v>2077</v>
      </c>
      <c r="CZ95" s="1942" t="s">
        <v>2080</v>
      </c>
      <c r="DA95" s="2931">
        <v>0.15</v>
      </c>
      <c r="DB95" s="2695"/>
      <c r="DC95" s="2695"/>
      <c r="DD95" s="2695"/>
      <c r="DE95" s="2695"/>
      <c r="DF95" s="2695"/>
      <c r="DG95" s="2695"/>
      <c r="DH95" s="2695"/>
      <c r="DI95" s="2695"/>
      <c r="DJ95" s="2695"/>
      <c r="DK95" s="2905"/>
      <c r="DL95" s="2695"/>
      <c r="DM95" s="2695"/>
    </row>
    <row r="96" spans="2:117">
      <c r="B96" s="1916" t="str">
        <f t="shared" si="116"/>
        <v>2.4.3</v>
      </c>
      <c r="C96" s="1938" t="str">
        <f t="shared" si="93"/>
        <v>電気設備</v>
      </c>
      <c r="D96" s="1926" t="e">
        <f t="shared" si="119"/>
        <v>#DIV/0!</v>
      </c>
      <c r="E96" s="1936" t="e">
        <f t="shared" si="119"/>
        <v>#DIV/0!</v>
      </c>
      <c r="G96" s="1936" t="e">
        <f t="shared" si="98"/>
        <v>#DIV/0!</v>
      </c>
      <c r="H96" s="1936" t="e">
        <f t="shared" si="99"/>
        <v>#DIV/0!</v>
      </c>
      <c r="I96" s="1936"/>
      <c r="J96" s="1936"/>
      <c r="K96" s="1936">
        <f>IF(スコア!O96=0,0,1)</f>
        <v>1</v>
      </c>
      <c r="L96" s="1936">
        <f>IF(スコア!R96=0,0,1)</f>
        <v>0</v>
      </c>
      <c r="M96" s="1936" t="e">
        <f t="shared" si="100"/>
        <v>#DIV/0!</v>
      </c>
      <c r="N96" s="1936" t="e">
        <f t="shared" si="101"/>
        <v>#DIV/0!</v>
      </c>
      <c r="P96" s="1937" t="str">
        <f t="shared" si="94"/>
        <v>2.4.3</v>
      </c>
      <c r="Q96" s="1937" t="str">
        <f t="shared" si="95"/>
        <v xml:space="preserve"> Q2 2.4</v>
      </c>
      <c r="R96" s="1938" t="str">
        <f t="shared" si="96"/>
        <v>電気設備</v>
      </c>
      <c r="S96" s="2799">
        <f t="shared" si="74"/>
        <v>0.2</v>
      </c>
      <c r="T96" s="2799">
        <f t="shared" si="75"/>
        <v>0.2</v>
      </c>
      <c r="U96" s="2799">
        <f t="shared" si="76"/>
        <v>0.2</v>
      </c>
      <c r="V96" s="2799">
        <f t="shared" si="77"/>
        <v>0.2</v>
      </c>
      <c r="W96" s="2799">
        <f t="shared" si="78"/>
        <v>0.2</v>
      </c>
      <c r="X96" s="2799">
        <f t="shared" si="79"/>
        <v>0.2</v>
      </c>
      <c r="Y96" s="2799">
        <f t="shared" si="80"/>
        <v>0.2</v>
      </c>
      <c r="Z96" s="2801">
        <f t="shared" si="81"/>
        <v>0.2</v>
      </c>
      <c r="AA96" s="2799">
        <f t="shared" si="82"/>
        <v>0.2</v>
      </c>
      <c r="AB96" s="2799">
        <f t="shared" si="83"/>
        <v>0.2</v>
      </c>
      <c r="AC96" s="2800">
        <f t="shared" si="84"/>
        <v>0</v>
      </c>
      <c r="AD96" s="2799">
        <f t="shared" si="85"/>
        <v>0</v>
      </c>
      <c r="AE96" s="2799">
        <f t="shared" si="86"/>
        <v>0</v>
      </c>
      <c r="AG96" s="1937" t="s">
        <v>2081</v>
      </c>
      <c r="AH96" s="1941" t="s">
        <v>2077</v>
      </c>
      <c r="AI96" s="1942" t="s">
        <v>2082</v>
      </c>
      <c r="AJ96" s="1939">
        <v>0.2</v>
      </c>
      <c r="AK96" s="1939">
        <v>0.2</v>
      </c>
      <c r="AL96" s="1939">
        <v>0.2</v>
      </c>
      <c r="AM96" s="1939">
        <v>0.2</v>
      </c>
      <c r="AN96" s="1939">
        <v>0.2</v>
      </c>
      <c r="AO96" s="1939">
        <v>0.2</v>
      </c>
      <c r="AP96" s="1939">
        <v>0.2</v>
      </c>
      <c r="AQ96" s="1948">
        <v>0.2</v>
      </c>
      <c r="AR96" s="1939">
        <v>0.2</v>
      </c>
      <c r="AS96" s="1944">
        <v>0.2</v>
      </c>
      <c r="AT96" s="1945">
        <v>0</v>
      </c>
      <c r="AU96" s="1944">
        <v>0</v>
      </c>
      <c r="AV96" s="1944">
        <v>0</v>
      </c>
      <c r="AX96" s="1937" t="s">
        <v>2081</v>
      </c>
      <c r="AY96" s="1941" t="s">
        <v>2077</v>
      </c>
      <c r="AZ96" s="1942" t="s">
        <v>2082</v>
      </c>
      <c r="BA96" s="1944">
        <v>0.2</v>
      </c>
      <c r="BB96" s="1944">
        <v>0.2</v>
      </c>
      <c r="BC96" s="1944">
        <v>0.2</v>
      </c>
      <c r="BD96" s="1944">
        <v>0.2</v>
      </c>
      <c r="BE96" s="1944">
        <v>0.2</v>
      </c>
      <c r="BF96" s="1944">
        <v>0.2</v>
      </c>
      <c r="BG96" s="1944">
        <v>0.2</v>
      </c>
      <c r="BH96" s="1951">
        <v>0.2</v>
      </c>
      <c r="BI96" s="1944">
        <v>0.2</v>
      </c>
      <c r="BJ96" s="1944">
        <v>0.2</v>
      </c>
      <c r="BK96" s="1945"/>
      <c r="BL96" s="1944"/>
      <c r="BM96" s="1944"/>
      <c r="BO96" s="1937" t="s">
        <v>2081</v>
      </c>
      <c r="BP96" s="1941" t="s">
        <v>2077</v>
      </c>
      <c r="BQ96" s="1942" t="s">
        <v>2082</v>
      </c>
      <c r="BR96" s="1944">
        <v>0.2</v>
      </c>
      <c r="BS96" s="1944">
        <v>0.2</v>
      </c>
      <c r="BT96" s="1944">
        <v>0.2</v>
      </c>
      <c r="BU96" s="1944">
        <v>0.2</v>
      </c>
      <c r="BV96" s="1944">
        <v>0.2</v>
      </c>
      <c r="BW96" s="1944">
        <v>0.2</v>
      </c>
      <c r="BX96" s="1944">
        <v>0.2</v>
      </c>
      <c r="BY96" s="1951">
        <v>0.2</v>
      </c>
      <c r="BZ96" s="1944">
        <v>0.2</v>
      </c>
      <c r="CA96" s="1944">
        <v>0.2</v>
      </c>
      <c r="CB96" s="1945"/>
      <c r="CC96" s="1944"/>
      <c r="CD96" s="1944"/>
      <c r="CE96" s="2272"/>
      <c r="CG96" s="1937" t="s">
        <v>2081</v>
      </c>
      <c r="CH96" s="1941" t="s">
        <v>2077</v>
      </c>
      <c r="CI96" s="1942" t="s">
        <v>2082</v>
      </c>
      <c r="CJ96" s="2706">
        <v>0</v>
      </c>
      <c r="CK96" s="2706">
        <v>0</v>
      </c>
      <c r="CL96" s="2706">
        <v>0</v>
      </c>
      <c r="CM96" s="2706">
        <v>0</v>
      </c>
      <c r="CN96" s="2706">
        <v>0</v>
      </c>
      <c r="CO96" s="2706">
        <v>0</v>
      </c>
      <c r="CP96" s="2706">
        <v>0</v>
      </c>
      <c r="CQ96" s="2706">
        <v>0</v>
      </c>
      <c r="CR96" s="2706">
        <v>0</v>
      </c>
      <c r="CS96" s="2706">
        <v>0</v>
      </c>
      <c r="CT96" s="2708">
        <f t="shared" si="111"/>
        <v>0</v>
      </c>
      <c r="CU96" s="2706">
        <f t="shared" si="112"/>
        <v>0</v>
      </c>
      <c r="CV96" s="2706">
        <f t="shared" si="113"/>
        <v>0</v>
      </c>
      <c r="CX96" s="1937" t="s">
        <v>2081</v>
      </c>
      <c r="CY96" s="1941" t="s">
        <v>2077</v>
      </c>
      <c r="CZ96" s="1942" t="s">
        <v>2082</v>
      </c>
      <c r="DA96" s="2931">
        <v>0.25</v>
      </c>
      <c r="DB96" s="2695"/>
      <c r="DC96" s="2695"/>
      <c r="DD96" s="2695"/>
      <c r="DE96" s="2695"/>
      <c r="DF96" s="2695"/>
      <c r="DG96" s="2695"/>
      <c r="DH96" s="2695"/>
      <c r="DI96" s="2695"/>
      <c r="DJ96" s="2695"/>
      <c r="DK96" s="2905"/>
      <c r="DL96" s="2695"/>
      <c r="DM96" s="2695"/>
    </row>
    <row r="97" spans="2:117">
      <c r="B97" s="1916" t="str">
        <f t="shared" si="116"/>
        <v>2.4.4</v>
      </c>
      <c r="C97" s="1938" t="str">
        <f t="shared" si="93"/>
        <v>機械・配管支持方法</v>
      </c>
      <c r="D97" s="1926" t="e">
        <f t="shared" si="119"/>
        <v>#DIV/0!</v>
      </c>
      <c r="E97" s="1936" t="e">
        <f t="shared" si="119"/>
        <v>#DIV/0!</v>
      </c>
      <c r="G97" s="1936" t="e">
        <f t="shared" si="98"/>
        <v>#DIV/0!</v>
      </c>
      <c r="H97" s="1936" t="e">
        <f t="shared" si="99"/>
        <v>#DIV/0!</v>
      </c>
      <c r="I97" s="1936"/>
      <c r="J97" s="1936"/>
      <c r="K97" s="1936">
        <f>IF(スコア!O97=0,0,1)</f>
        <v>1</v>
      </c>
      <c r="L97" s="1936">
        <f>IF(スコア!R97=0,0,1)</f>
        <v>0</v>
      </c>
      <c r="M97" s="1936" t="e">
        <f t="shared" si="100"/>
        <v>#DIV/0!</v>
      </c>
      <c r="N97" s="1936" t="e">
        <f t="shared" si="101"/>
        <v>#DIV/0!</v>
      </c>
      <c r="P97" s="1937" t="str">
        <f t="shared" si="94"/>
        <v>2.4.4</v>
      </c>
      <c r="Q97" s="1937" t="str">
        <f t="shared" si="95"/>
        <v xml:space="preserve"> Q2 2.4</v>
      </c>
      <c r="R97" s="1938" t="str">
        <f t="shared" si="96"/>
        <v>機械・配管支持方法</v>
      </c>
      <c r="S97" s="2799">
        <f t="shared" si="74"/>
        <v>0.2</v>
      </c>
      <c r="T97" s="2799">
        <f t="shared" si="75"/>
        <v>0.2</v>
      </c>
      <c r="U97" s="2799">
        <f t="shared" si="76"/>
        <v>0.2</v>
      </c>
      <c r="V97" s="2799">
        <f t="shared" si="77"/>
        <v>0.2</v>
      </c>
      <c r="W97" s="2799">
        <f t="shared" si="78"/>
        <v>0.2</v>
      </c>
      <c r="X97" s="2799">
        <f t="shared" si="79"/>
        <v>0.2</v>
      </c>
      <c r="Y97" s="2799">
        <f t="shared" si="80"/>
        <v>0.2</v>
      </c>
      <c r="Z97" s="2801">
        <f t="shared" si="81"/>
        <v>0.2</v>
      </c>
      <c r="AA97" s="2799">
        <f t="shared" si="82"/>
        <v>0.2</v>
      </c>
      <c r="AB97" s="2799">
        <f t="shared" si="83"/>
        <v>0.2</v>
      </c>
      <c r="AC97" s="2800">
        <f t="shared" si="84"/>
        <v>0</v>
      </c>
      <c r="AD97" s="2799">
        <f t="shared" si="85"/>
        <v>0</v>
      </c>
      <c r="AE97" s="2799">
        <f t="shared" si="86"/>
        <v>0</v>
      </c>
      <c r="AG97" s="1937" t="s">
        <v>2083</v>
      </c>
      <c r="AH97" s="1941" t="s">
        <v>2077</v>
      </c>
      <c r="AI97" s="1942" t="s">
        <v>2084</v>
      </c>
      <c r="AJ97" s="1939">
        <v>0.2</v>
      </c>
      <c r="AK97" s="1939">
        <v>0.2</v>
      </c>
      <c r="AL97" s="1939">
        <v>0.2</v>
      </c>
      <c r="AM97" s="1939">
        <v>0.2</v>
      </c>
      <c r="AN97" s="1939">
        <v>0.2</v>
      </c>
      <c r="AO97" s="1939">
        <v>0.2</v>
      </c>
      <c r="AP97" s="1939">
        <v>0.2</v>
      </c>
      <c r="AQ97" s="1948">
        <v>0.2</v>
      </c>
      <c r="AR97" s="1939">
        <v>0.2</v>
      </c>
      <c r="AS97" s="1944">
        <v>0.2</v>
      </c>
      <c r="AT97" s="1945">
        <v>0</v>
      </c>
      <c r="AU97" s="1944">
        <v>0</v>
      </c>
      <c r="AV97" s="1944">
        <v>0</v>
      </c>
      <c r="AX97" s="1937" t="s">
        <v>2083</v>
      </c>
      <c r="AY97" s="1941" t="s">
        <v>2077</v>
      </c>
      <c r="AZ97" s="1942" t="s">
        <v>2084</v>
      </c>
      <c r="BA97" s="1944">
        <v>0.2</v>
      </c>
      <c r="BB97" s="1944">
        <v>0.2</v>
      </c>
      <c r="BC97" s="1944">
        <v>0.2</v>
      </c>
      <c r="BD97" s="1944">
        <v>0.2</v>
      </c>
      <c r="BE97" s="1944">
        <v>0.2</v>
      </c>
      <c r="BF97" s="1944">
        <v>0.2</v>
      </c>
      <c r="BG97" s="1944">
        <v>0.2</v>
      </c>
      <c r="BH97" s="1951">
        <v>0.2</v>
      </c>
      <c r="BI97" s="1944">
        <v>0.2</v>
      </c>
      <c r="BJ97" s="1944">
        <v>0.2</v>
      </c>
      <c r="BK97" s="1945"/>
      <c r="BL97" s="1944"/>
      <c r="BM97" s="1944"/>
      <c r="BO97" s="1937" t="s">
        <v>2083</v>
      </c>
      <c r="BP97" s="1941" t="s">
        <v>2077</v>
      </c>
      <c r="BQ97" s="1942" t="s">
        <v>2084</v>
      </c>
      <c r="BR97" s="1944">
        <v>0.2</v>
      </c>
      <c r="BS97" s="1944">
        <v>0.2</v>
      </c>
      <c r="BT97" s="1944">
        <v>0.2</v>
      </c>
      <c r="BU97" s="1944">
        <v>0.2</v>
      </c>
      <c r="BV97" s="1944">
        <v>0.2</v>
      </c>
      <c r="BW97" s="1944">
        <v>0.2</v>
      </c>
      <c r="BX97" s="1944">
        <v>0.2</v>
      </c>
      <c r="BY97" s="1951">
        <v>0.2</v>
      </c>
      <c r="BZ97" s="1944">
        <v>0.2</v>
      </c>
      <c r="CA97" s="1944">
        <v>0.2</v>
      </c>
      <c r="CB97" s="1945"/>
      <c r="CC97" s="1944"/>
      <c r="CD97" s="1944"/>
      <c r="CE97" s="2272"/>
      <c r="CG97" s="1937" t="s">
        <v>2083</v>
      </c>
      <c r="CH97" s="1941" t="s">
        <v>2077</v>
      </c>
      <c r="CI97" s="1942" t="s">
        <v>2084</v>
      </c>
      <c r="CJ97" s="2695">
        <v>1</v>
      </c>
      <c r="CK97" s="2695">
        <v>1</v>
      </c>
      <c r="CL97" s="2695">
        <v>1</v>
      </c>
      <c r="CM97" s="2695">
        <v>1</v>
      </c>
      <c r="CN97" s="2695">
        <v>1</v>
      </c>
      <c r="CO97" s="2695">
        <v>1</v>
      </c>
      <c r="CP97" s="2695">
        <v>1</v>
      </c>
      <c r="CQ97" s="2695">
        <v>1</v>
      </c>
      <c r="CR97" s="2695">
        <v>1</v>
      </c>
      <c r="CS97" s="2695">
        <v>1</v>
      </c>
      <c r="CT97" s="2708">
        <f t="shared" si="111"/>
        <v>0</v>
      </c>
      <c r="CU97" s="2706">
        <f t="shared" si="112"/>
        <v>0</v>
      </c>
      <c r="CV97" s="2706">
        <f t="shared" si="113"/>
        <v>0</v>
      </c>
      <c r="CX97" s="1937" t="s">
        <v>2083</v>
      </c>
      <c r="CY97" s="1941" t="s">
        <v>2077</v>
      </c>
      <c r="CZ97" s="1942" t="s">
        <v>2084</v>
      </c>
      <c r="DA97" s="2931">
        <v>0.2</v>
      </c>
      <c r="DB97" s="2695"/>
      <c r="DC97" s="2695"/>
      <c r="DD97" s="2695"/>
      <c r="DE97" s="2695"/>
      <c r="DF97" s="2695"/>
      <c r="DG97" s="2695"/>
      <c r="DH97" s="2695"/>
      <c r="DI97" s="2695"/>
      <c r="DJ97" s="2695"/>
      <c r="DK97" s="2905"/>
      <c r="DL97" s="2695"/>
      <c r="DM97" s="2695"/>
    </row>
    <row r="98" spans="2:117">
      <c r="B98" s="1916" t="str">
        <f t="shared" si="116"/>
        <v>2.4.5</v>
      </c>
      <c r="C98" s="1938" t="str">
        <f t="shared" si="93"/>
        <v>通信・情報設備</v>
      </c>
      <c r="D98" s="1926" t="e">
        <f t="shared" si="119"/>
        <v>#DIV/0!</v>
      </c>
      <c r="E98" s="1936" t="e">
        <f t="shared" si="119"/>
        <v>#DIV/0!</v>
      </c>
      <c r="G98" s="1936" t="e">
        <f t="shared" si="98"/>
        <v>#DIV/0!</v>
      </c>
      <c r="H98" s="1936" t="e">
        <f t="shared" si="99"/>
        <v>#DIV/0!</v>
      </c>
      <c r="I98" s="1936"/>
      <c r="J98" s="1936"/>
      <c r="K98" s="1936">
        <f>IF(スコア!O98=0,0,1)</f>
        <v>1</v>
      </c>
      <c r="L98" s="1936">
        <f>IF(スコア!R98=0,0,1)</f>
        <v>0</v>
      </c>
      <c r="M98" s="1936" t="e">
        <f t="shared" si="100"/>
        <v>#DIV/0!</v>
      </c>
      <c r="N98" s="1936" t="e">
        <f t="shared" si="101"/>
        <v>#DIV/0!</v>
      </c>
      <c r="P98" s="1937" t="str">
        <f t="shared" si="94"/>
        <v>2.4.5</v>
      </c>
      <c r="Q98" s="1937" t="str">
        <f t="shared" si="95"/>
        <v xml:space="preserve"> Q2 2.4</v>
      </c>
      <c r="R98" s="1938" t="str">
        <f t="shared" si="96"/>
        <v>通信・情報設備</v>
      </c>
      <c r="S98" s="2799">
        <f t="shared" si="74"/>
        <v>0.2</v>
      </c>
      <c r="T98" s="2799">
        <f t="shared" si="75"/>
        <v>0.2</v>
      </c>
      <c r="U98" s="2799">
        <f t="shared" si="76"/>
        <v>0.2</v>
      </c>
      <c r="V98" s="2799">
        <f t="shared" si="77"/>
        <v>0.2</v>
      </c>
      <c r="W98" s="2799">
        <f t="shared" si="78"/>
        <v>0.2</v>
      </c>
      <c r="X98" s="2799">
        <f t="shared" si="79"/>
        <v>0.2</v>
      </c>
      <c r="Y98" s="2799">
        <f t="shared" si="80"/>
        <v>0.2</v>
      </c>
      <c r="Z98" s="2801">
        <f t="shared" si="81"/>
        <v>0.2</v>
      </c>
      <c r="AA98" s="2799">
        <f t="shared" si="82"/>
        <v>0.2</v>
      </c>
      <c r="AB98" s="2799">
        <f t="shared" si="83"/>
        <v>0.2</v>
      </c>
      <c r="AC98" s="2800">
        <f t="shared" si="84"/>
        <v>0</v>
      </c>
      <c r="AD98" s="2799">
        <f t="shared" si="85"/>
        <v>0</v>
      </c>
      <c r="AE98" s="2799">
        <f t="shared" si="86"/>
        <v>0</v>
      </c>
      <c r="AG98" s="1937" t="s">
        <v>2085</v>
      </c>
      <c r="AH98" s="1941" t="s">
        <v>2077</v>
      </c>
      <c r="AI98" s="1942" t="s">
        <v>2086</v>
      </c>
      <c r="AJ98" s="1939">
        <v>0.2</v>
      </c>
      <c r="AK98" s="1939">
        <v>0.2</v>
      </c>
      <c r="AL98" s="1939">
        <v>0.2</v>
      </c>
      <c r="AM98" s="1939">
        <v>0.2</v>
      </c>
      <c r="AN98" s="1939">
        <v>0.2</v>
      </c>
      <c r="AO98" s="1939">
        <v>0.2</v>
      </c>
      <c r="AP98" s="1939">
        <v>0.2</v>
      </c>
      <c r="AQ98" s="1948">
        <v>0.2</v>
      </c>
      <c r="AR98" s="1939">
        <v>0.2</v>
      </c>
      <c r="AS98" s="1944">
        <v>0.2</v>
      </c>
      <c r="AT98" s="1945">
        <v>0</v>
      </c>
      <c r="AU98" s="1944">
        <v>0</v>
      </c>
      <c r="AV98" s="1944">
        <v>0</v>
      </c>
      <c r="AX98" s="1937" t="s">
        <v>2085</v>
      </c>
      <c r="AY98" s="1941" t="s">
        <v>2077</v>
      </c>
      <c r="AZ98" s="1942" t="s">
        <v>2086</v>
      </c>
      <c r="BA98" s="1944">
        <v>0.2</v>
      </c>
      <c r="BB98" s="1944">
        <v>0.2</v>
      </c>
      <c r="BC98" s="1944">
        <v>0.2</v>
      </c>
      <c r="BD98" s="1944">
        <v>0.2</v>
      </c>
      <c r="BE98" s="1944">
        <v>0.2</v>
      </c>
      <c r="BF98" s="1944">
        <v>0.2</v>
      </c>
      <c r="BG98" s="1944">
        <v>0.2</v>
      </c>
      <c r="BH98" s="1951">
        <v>0.2</v>
      </c>
      <c r="BI98" s="1944">
        <v>0.2</v>
      </c>
      <c r="BJ98" s="1944">
        <v>0.2</v>
      </c>
      <c r="BK98" s="1945"/>
      <c r="BL98" s="1944"/>
      <c r="BM98" s="1944"/>
      <c r="BO98" s="1937" t="s">
        <v>2085</v>
      </c>
      <c r="BP98" s="1941" t="s">
        <v>2077</v>
      </c>
      <c r="BQ98" s="1942" t="s">
        <v>2086</v>
      </c>
      <c r="BR98" s="1944">
        <v>0.2</v>
      </c>
      <c r="BS98" s="1944">
        <v>0.2</v>
      </c>
      <c r="BT98" s="1944">
        <v>0.2</v>
      </c>
      <c r="BU98" s="1944">
        <v>0.2</v>
      </c>
      <c r="BV98" s="1944">
        <v>0.2</v>
      </c>
      <c r="BW98" s="1944">
        <v>0.2</v>
      </c>
      <c r="BX98" s="1944">
        <v>0.2</v>
      </c>
      <c r="BY98" s="1951">
        <v>0.2</v>
      </c>
      <c r="BZ98" s="1944">
        <v>0.2</v>
      </c>
      <c r="CA98" s="1944">
        <v>0.2</v>
      </c>
      <c r="CB98" s="1945"/>
      <c r="CC98" s="1944"/>
      <c r="CD98" s="1944"/>
      <c r="CE98" s="2272"/>
      <c r="CG98" s="1937" t="s">
        <v>2085</v>
      </c>
      <c r="CH98" s="1941" t="s">
        <v>2077</v>
      </c>
      <c r="CI98" s="1942" t="s">
        <v>2086</v>
      </c>
      <c r="CJ98" s="2706">
        <v>0</v>
      </c>
      <c r="CK98" s="2706">
        <v>0</v>
      </c>
      <c r="CL98" s="2706">
        <v>0</v>
      </c>
      <c r="CM98" s="2706">
        <v>0</v>
      </c>
      <c r="CN98" s="2706">
        <v>0</v>
      </c>
      <c r="CO98" s="2706">
        <v>0</v>
      </c>
      <c r="CP98" s="2706">
        <v>0</v>
      </c>
      <c r="CQ98" s="2706">
        <v>0</v>
      </c>
      <c r="CR98" s="2706">
        <v>0</v>
      </c>
      <c r="CS98" s="2706">
        <v>0</v>
      </c>
      <c r="CT98" s="2708">
        <f t="shared" si="111"/>
        <v>0</v>
      </c>
      <c r="CU98" s="2706">
        <f t="shared" si="112"/>
        <v>0</v>
      </c>
      <c r="CV98" s="2706">
        <f t="shared" si="113"/>
        <v>0</v>
      </c>
      <c r="CX98" s="1937" t="s">
        <v>2085</v>
      </c>
      <c r="CY98" s="1941" t="s">
        <v>2077</v>
      </c>
      <c r="CZ98" s="1942" t="s">
        <v>2086</v>
      </c>
      <c r="DA98" s="2931">
        <v>0.25</v>
      </c>
      <c r="DB98" s="2695"/>
      <c r="DC98" s="2695"/>
      <c r="DD98" s="2695"/>
      <c r="DE98" s="2695"/>
      <c r="DF98" s="2695"/>
      <c r="DG98" s="2695"/>
      <c r="DH98" s="2695"/>
      <c r="DI98" s="2695"/>
      <c r="DJ98" s="2695"/>
      <c r="DK98" s="2905"/>
      <c r="DL98" s="2695"/>
      <c r="DM98" s="2695"/>
    </row>
    <row r="99" spans="2:117" hidden="1">
      <c r="B99" s="1916">
        <f t="shared" si="116"/>
        <v>0</v>
      </c>
      <c r="C99" s="1938">
        <f t="shared" si="93"/>
        <v>0</v>
      </c>
      <c r="D99" s="1926"/>
      <c r="E99" s="1936"/>
      <c r="G99" s="1936" t="e">
        <f t="shared" si="98"/>
        <v>#DIV/0!</v>
      </c>
      <c r="H99" s="1936">
        <f t="shared" si="99"/>
        <v>0</v>
      </c>
      <c r="I99" s="1936"/>
      <c r="J99" s="1936"/>
      <c r="K99" s="1936"/>
      <c r="L99" s="1936"/>
      <c r="M99" s="1936" t="e">
        <f t="shared" si="100"/>
        <v>#DIV/0!</v>
      </c>
      <c r="N99" s="1936"/>
      <c r="P99" s="1937">
        <f t="shared" si="94"/>
        <v>0</v>
      </c>
      <c r="Q99" s="1937" t="str">
        <f t="shared" si="95"/>
        <v xml:space="preserve"> Q</v>
      </c>
      <c r="R99" s="1938">
        <f t="shared" si="96"/>
        <v>0</v>
      </c>
      <c r="S99" s="2799">
        <f t="shared" si="74"/>
        <v>0</v>
      </c>
      <c r="T99" s="2799">
        <f t="shared" si="75"/>
        <v>0</v>
      </c>
      <c r="U99" s="2799">
        <f t="shared" si="76"/>
        <v>0</v>
      </c>
      <c r="V99" s="2799">
        <f t="shared" si="77"/>
        <v>0</v>
      </c>
      <c r="W99" s="2799">
        <f t="shared" si="78"/>
        <v>0</v>
      </c>
      <c r="X99" s="2799">
        <f t="shared" si="79"/>
        <v>0</v>
      </c>
      <c r="Y99" s="2799">
        <f t="shared" si="80"/>
        <v>0</v>
      </c>
      <c r="Z99" s="2801">
        <f t="shared" si="81"/>
        <v>0</v>
      </c>
      <c r="AA99" s="2799">
        <f t="shared" si="82"/>
        <v>0</v>
      </c>
      <c r="AB99" s="2799">
        <f t="shared" si="83"/>
        <v>0</v>
      </c>
      <c r="AC99" s="2800">
        <f t="shared" si="84"/>
        <v>0</v>
      </c>
      <c r="AD99" s="2799">
        <f t="shared" si="85"/>
        <v>0</v>
      </c>
      <c r="AE99" s="2799">
        <f t="shared" si="86"/>
        <v>0</v>
      </c>
      <c r="AG99" s="1937"/>
      <c r="AH99" s="1941" t="s">
        <v>952</v>
      </c>
      <c r="AI99" s="1942"/>
      <c r="AJ99" s="1949">
        <v>0</v>
      </c>
      <c r="AK99" s="1949">
        <v>0</v>
      </c>
      <c r="AL99" s="1949">
        <v>0</v>
      </c>
      <c r="AM99" s="1949">
        <v>0</v>
      </c>
      <c r="AN99" s="1949">
        <v>0</v>
      </c>
      <c r="AO99" s="1949">
        <v>0</v>
      </c>
      <c r="AP99" s="1949">
        <v>0</v>
      </c>
      <c r="AQ99" s="1963">
        <v>0</v>
      </c>
      <c r="AR99" s="1949">
        <v>0</v>
      </c>
      <c r="AS99" s="1944"/>
      <c r="AT99" s="1945">
        <v>0</v>
      </c>
      <c r="AU99" s="1944">
        <v>0</v>
      </c>
      <c r="AV99" s="1944">
        <v>0</v>
      </c>
      <c r="AX99" s="1937"/>
      <c r="AY99" s="1941" t="s">
        <v>952</v>
      </c>
      <c r="AZ99" s="1942"/>
      <c r="BA99" s="1944"/>
      <c r="BB99" s="1944"/>
      <c r="BC99" s="1944"/>
      <c r="BD99" s="1944"/>
      <c r="BE99" s="1944"/>
      <c r="BF99" s="1944"/>
      <c r="BG99" s="1944"/>
      <c r="BH99" s="1951"/>
      <c r="BI99" s="1944"/>
      <c r="BJ99" s="1944"/>
      <c r="BK99" s="1945"/>
      <c r="BL99" s="1944"/>
      <c r="BM99" s="1944"/>
      <c r="BO99" s="1937"/>
      <c r="BP99" s="1941" t="s">
        <v>952</v>
      </c>
      <c r="BQ99" s="1942"/>
      <c r="BR99" s="1944"/>
      <c r="BS99" s="1944"/>
      <c r="BT99" s="1944"/>
      <c r="BU99" s="1944"/>
      <c r="BV99" s="1944"/>
      <c r="BW99" s="1944"/>
      <c r="BX99" s="1944"/>
      <c r="BY99" s="1951"/>
      <c r="BZ99" s="1944"/>
      <c r="CA99" s="1944"/>
      <c r="CB99" s="1945"/>
      <c r="CC99" s="1944"/>
      <c r="CD99" s="1944"/>
      <c r="CE99" s="2272"/>
      <c r="CG99" s="1937"/>
      <c r="CH99" s="1941" t="s">
        <v>952</v>
      </c>
      <c r="CI99" s="1942"/>
      <c r="CJ99" s="2706">
        <f t="shared" si="114"/>
        <v>0</v>
      </c>
      <c r="CK99" s="2706">
        <f t="shared" si="102"/>
        <v>0</v>
      </c>
      <c r="CL99" s="2706">
        <f t="shared" si="103"/>
        <v>0</v>
      </c>
      <c r="CM99" s="2706">
        <f t="shared" si="104"/>
        <v>0</v>
      </c>
      <c r="CN99" s="2706">
        <f t="shared" si="105"/>
        <v>0</v>
      </c>
      <c r="CO99" s="2706">
        <f t="shared" si="106"/>
        <v>0</v>
      </c>
      <c r="CP99" s="2706">
        <f t="shared" si="107"/>
        <v>0</v>
      </c>
      <c r="CQ99" s="2718">
        <f t="shared" si="108"/>
        <v>0</v>
      </c>
      <c r="CR99" s="2706">
        <f t="shared" si="109"/>
        <v>0</v>
      </c>
      <c r="CS99" s="2706">
        <f t="shared" si="110"/>
        <v>0</v>
      </c>
      <c r="CT99" s="2708">
        <f t="shared" si="111"/>
        <v>0</v>
      </c>
      <c r="CU99" s="2706">
        <f t="shared" si="112"/>
        <v>0</v>
      </c>
      <c r="CV99" s="2706">
        <f t="shared" si="113"/>
        <v>0</v>
      </c>
      <c r="CX99" s="1937"/>
      <c r="CY99" s="1941" t="s">
        <v>952</v>
      </c>
      <c r="CZ99" s="1942"/>
      <c r="DA99" s="2695">
        <f t="shared" si="115"/>
        <v>0</v>
      </c>
      <c r="DB99" s="2695"/>
      <c r="DC99" s="2695"/>
      <c r="DD99" s="2695"/>
      <c r="DE99" s="2695"/>
      <c r="DF99" s="2695"/>
      <c r="DG99" s="2695"/>
      <c r="DH99" s="2778"/>
      <c r="DI99" s="2695"/>
      <c r="DJ99" s="2695"/>
      <c r="DK99" s="2905"/>
      <c r="DL99" s="2695"/>
      <c r="DM99" s="2695"/>
    </row>
    <row r="100" spans="2:117">
      <c r="B100" s="1916">
        <f t="shared" si="116"/>
        <v>3</v>
      </c>
      <c r="C100" s="1928" t="str">
        <f t="shared" si="93"/>
        <v>対応性・更新性</v>
      </c>
      <c r="D100" s="1924" t="e">
        <f>IF(I$62=0,0,G100/I$62)</f>
        <v>#DIV/0!</v>
      </c>
      <c r="E100" s="1925" t="e">
        <f>IF(J$62=0,0,H100/J$62)</f>
        <v>#DIV/0!</v>
      </c>
      <c r="G100" s="1925" t="e">
        <f t="shared" si="98"/>
        <v>#DIV/0!</v>
      </c>
      <c r="H100" s="1925" t="e">
        <f t="shared" si="99"/>
        <v>#DIV/0!</v>
      </c>
      <c r="I100" s="1925" t="e">
        <f>G101+G104+G105</f>
        <v>#DIV/0!</v>
      </c>
      <c r="J100" s="1925" t="e">
        <f>H101+H104+H105</f>
        <v>#DIV/0!</v>
      </c>
      <c r="K100" s="1925" t="e">
        <f>IF(スコア!O100=0,0,1)</f>
        <v>#DIV/0!</v>
      </c>
      <c r="L100" s="1925" t="e">
        <f>IF(スコア!R100=0,0,1)</f>
        <v>#DIV/0!</v>
      </c>
      <c r="M100" s="1925" t="e">
        <f t="shared" si="100"/>
        <v>#DIV/0!</v>
      </c>
      <c r="N100" s="1925" t="e">
        <f t="shared" ref="N100:N119" si="120">(AC$7*AC100)+(AD$7*AD100)+(AE$7*AE100)</f>
        <v>#DIV/0!</v>
      </c>
      <c r="P100" s="1927">
        <f t="shared" si="94"/>
        <v>3</v>
      </c>
      <c r="Q100" s="1927" t="str">
        <f t="shared" si="95"/>
        <v xml:space="preserve"> Q2</v>
      </c>
      <c r="R100" s="1928" t="str">
        <f t="shared" si="96"/>
        <v>対応性・更新性</v>
      </c>
      <c r="S100" s="2796">
        <f t="shared" si="74"/>
        <v>0.3</v>
      </c>
      <c r="T100" s="2796">
        <f t="shared" si="75"/>
        <v>0.3</v>
      </c>
      <c r="U100" s="2796">
        <f t="shared" si="76"/>
        <v>0.3</v>
      </c>
      <c r="V100" s="2796">
        <f t="shared" si="77"/>
        <v>0.3</v>
      </c>
      <c r="W100" s="2796">
        <f t="shared" si="78"/>
        <v>0.3</v>
      </c>
      <c r="X100" s="2796">
        <f t="shared" si="79"/>
        <v>0.3</v>
      </c>
      <c r="Y100" s="2796">
        <f t="shared" si="80"/>
        <v>0.3</v>
      </c>
      <c r="Z100" s="2810">
        <f t="shared" si="81"/>
        <v>0.3</v>
      </c>
      <c r="AA100" s="2796">
        <f t="shared" si="82"/>
        <v>0.3</v>
      </c>
      <c r="AB100" s="2796">
        <f t="shared" si="83"/>
        <v>0.3</v>
      </c>
      <c r="AC100" s="2798">
        <f t="shared" si="84"/>
        <v>0</v>
      </c>
      <c r="AD100" s="2796">
        <f t="shared" si="85"/>
        <v>0</v>
      </c>
      <c r="AE100" s="2796">
        <f t="shared" si="86"/>
        <v>0</v>
      </c>
      <c r="AG100" s="1927">
        <v>3</v>
      </c>
      <c r="AH100" s="1931" t="s">
        <v>2554</v>
      </c>
      <c r="AI100" s="1953" t="s">
        <v>152</v>
      </c>
      <c r="AJ100" s="1929">
        <v>0.3</v>
      </c>
      <c r="AK100" s="1929">
        <v>0.3</v>
      </c>
      <c r="AL100" s="1929">
        <v>0.3</v>
      </c>
      <c r="AM100" s="1929">
        <v>0.3</v>
      </c>
      <c r="AN100" s="1929">
        <v>0.3</v>
      </c>
      <c r="AO100" s="1929">
        <v>0.3</v>
      </c>
      <c r="AP100" s="1929">
        <v>0.3</v>
      </c>
      <c r="AQ100" s="1984">
        <v>0.3</v>
      </c>
      <c r="AR100" s="1929">
        <v>0.3</v>
      </c>
      <c r="AS100" s="1932">
        <v>0.3</v>
      </c>
      <c r="AT100" s="1933"/>
      <c r="AU100" s="1932"/>
      <c r="AV100" s="1932"/>
      <c r="AX100" s="1927">
        <v>3</v>
      </c>
      <c r="AY100" s="1931" t="s">
        <v>2554</v>
      </c>
      <c r="AZ100" s="1953" t="s">
        <v>152</v>
      </c>
      <c r="BA100" s="1932">
        <v>0.3</v>
      </c>
      <c r="BB100" s="1932">
        <v>0.3</v>
      </c>
      <c r="BC100" s="1932">
        <v>0.3</v>
      </c>
      <c r="BD100" s="1932">
        <v>0.3</v>
      </c>
      <c r="BE100" s="1932">
        <v>0.3</v>
      </c>
      <c r="BF100" s="1932">
        <v>0.3</v>
      </c>
      <c r="BG100" s="1932">
        <v>0.3</v>
      </c>
      <c r="BH100" s="1985">
        <v>0.3</v>
      </c>
      <c r="BI100" s="1932">
        <v>0.3</v>
      </c>
      <c r="BJ100" s="1932">
        <v>0.3</v>
      </c>
      <c r="BK100" s="1933"/>
      <c r="BL100" s="1932"/>
      <c r="BM100" s="1932"/>
      <c r="BO100" s="1927">
        <v>3</v>
      </c>
      <c r="BP100" s="1931" t="s">
        <v>2554</v>
      </c>
      <c r="BQ100" s="1953" t="s">
        <v>152</v>
      </c>
      <c r="BR100" s="1932">
        <v>0.3</v>
      </c>
      <c r="BS100" s="1932">
        <v>0.3</v>
      </c>
      <c r="BT100" s="1932">
        <v>0.3</v>
      </c>
      <c r="BU100" s="1932">
        <v>0.3</v>
      </c>
      <c r="BV100" s="1932">
        <v>0.3</v>
      </c>
      <c r="BW100" s="1932">
        <v>0.3</v>
      </c>
      <c r="BX100" s="1932">
        <v>0.3</v>
      </c>
      <c r="BY100" s="1985">
        <v>0.3</v>
      </c>
      <c r="BZ100" s="1932">
        <v>0.3</v>
      </c>
      <c r="CA100" s="1932">
        <v>0.3</v>
      </c>
      <c r="CB100" s="1933"/>
      <c r="CC100" s="1932"/>
      <c r="CD100" s="1932"/>
      <c r="CE100" s="2271"/>
      <c r="CG100" s="1927">
        <v>3</v>
      </c>
      <c r="CH100" s="1931" t="s">
        <v>2554</v>
      </c>
      <c r="CI100" s="1953" t="s">
        <v>152</v>
      </c>
      <c r="CJ100" s="2693">
        <v>0</v>
      </c>
      <c r="CK100" s="2693">
        <v>0</v>
      </c>
      <c r="CL100" s="2693">
        <v>0</v>
      </c>
      <c r="CM100" s="2693">
        <v>0</v>
      </c>
      <c r="CN100" s="2693">
        <v>0</v>
      </c>
      <c r="CO100" s="2693">
        <v>0</v>
      </c>
      <c r="CP100" s="2693">
        <v>0</v>
      </c>
      <c r="CQ100" s="2693">
        <v>0</v>
      </c>
      <c r="CR100" s="2693">
        <v>0</v>
      </c>
      <c r="CS100" s="2693">
        <v>0</v>
      </c>
      <c r="CT100" s="2694">
        <f t="shared" si="111"/>
        <v>0</v>
      </c>
      <c r="CU100" s="2693">
        <f t="shared" si="112"/>
        <v>0</v>
      </c>
      <c r="CV100" s="2693">
        <f t="shared" si="113"/>
        <v>0</v>
      </c>
      <c r="CX100" s="1927">
        <v>3</v>
      </c>
      <c r="CY100" s="1931" t="s">
        <v>2554</v>
      </c>
      <c r="CZ100" s="1953" t="s">
        <v>152</v>
      </c>
      <c r="DA100" s="2932">
        <v>0.2</v>
      </c>
      <c r="DB100" s="2693"/>
      <c r="DC100" s="2693"/>
      <c r="DD100" s="2693"/>
      <c r="DE100" s="2693"/>
      <c r="DF100" s="2693"/>
      <c r="DG100" s="2693"/>
      <c r="DH100" s="2693"/>
      <c r="DI100" s="2693"/>
      <c r="DJ100" s="2693"/>
      <c r="DK100" s="2694"/>
      <c r="DL100" s="2693"/>
      <c r="DM100" s="2693"/>
    </row>
    <row r="101" spans="2:117">
      <c r="B101" s="1916">
        <f t="shared" si="116"/>
        <v>3.1</v>
      </c>
      <c r="C101" s="1938" t="str">
        <f t="shared" si="93"/>
        <v>空間のゆとり</v>
      </c>
      <c r="D101" s="1935" t="e">
        <f>IF(I$100=0,0,G101/I$100)</f>
        <v>#DIV/0!</v>
      </c>
      <c r="E101" s="1936" t="e">
        <f>IF(J$100=0,0,H101/J$100)</f>
        <v>#DIV/0!</v>
      </c>
      <c r="G101" s="1936" t="e">
        <f t="shared" si="98"/>
        <v>#DIV/0!</v>
      </c>
      <c r="H101" s="1936" t="e">
        <f t="shared" si="99"/>
        <v>#DIV/0!</v>
      </c>
      <c r="I101" s="1936" t="e">
        <f>SUM(G102:G103)</f>
        <v>#DIV/0!</v>
      </c>
      <c r="J101" s="1936" t="e">
        <f>SUM(H102:H103)</f>
        <v>#DIV/0!</v>
      </c>
      <c r="K101" s="1936" t="e">
        <f>IF(スコア!O101=0,0,1)</f>
        <v>#DIV/0!</v>
      </c>
      <c r="L101" s="1936" t="e">
        <f>IF(スコア!R101=0,0,1)</f>
        <v>#DIV/0!</v>
      </c>
      <c r="M101" s="1936" t="e">
        <f t="shared" si="100"/>
        <v>#DIV/0!</v>
      </c>
      <c r="N101" s="1936" t="e">
        <f t="shared" si="120"/>
        <v>#DIV/0!</v>
      </c>
      <c r="P101" s="1937">
        <f t="shared" si="94"/>
        <v>3.1</v>
      </c>
      <c r="Q101" s="1937" t="str">
        <f t="shared" si="95"/>
        <v xml:space="preserve"> Q2 3</v>
      </c>
      <c r="R101" s="1938" t="str">
        <f t="shared" si="96"/>
        <v>空間のゆとり</v>
      </c>
      <c r="S101" s="2799">
        <f t="shared" si="74"/>
        <v>0.3</v>
      </c>
      <c r="T101" s="2799">
        <f t="shared" si="75"/>
        <v>0.3</v>
      </c>
      <c r="U101" s="2799">
        <f t="shared" si="76"/>
        <v>0.3</v>
      </c>
      <c r="V101" s="2799">
        <f t="shared" si="77"/>
        <v>0.3</v>
      </c>
      <c r="W101" s="2799">
        <f t="shared" si="78"/>
        <v>0.3</v>
      </c>
      <c r="X101" s="2799">
        <f t="shared" si="79"/>
        <v>0</v>
      </c>
      <c r="Y101" s="2799">
        <f t="shared" si="80"/>
        <v>0</v>
      </c>
      <c r="Z101" s="2801">
        <f t="shared" si="81"/>
        <v>0.3</v>
      </c>
      <c r="AA101" s="2799">
        <f t="shared" si="82"/>
        <v>0.3</v>
      </c>
      <c r="AB101" s="2799">
        <f t="shared" si="83"/>
        <v>0.3</v>
      </c>
      <c r="AC101" s="2800">
        <f t="shared" si="84"/>
        <v>0.5</v>
      </c>
      <c r="AD101" s="2799">
        <f t="shared" si="85"/>
        <v>0.5</v>
      </c>
      <c r="AE101" s="2799">
        <f t="shared" si="86"/>
        <v>0.5</v>
      </c>
      <c r="AG101" s="1937">
        <v>3.1</v>
      </c>
      <c r="AH101" s="1941" t="s">
        <v>153</v>
      </c>
      <c r="AI101" s="1938" t="s">
        <v>1246</v>
      </c>
      <c r="AJ101" s="1939">
        <v>0.3</v>
      </c>
      <c r="AK101" s="1939">
        <v>0.3</v>
      </c>
      <c r="AL101" s="1939">
        <v>0.3</v>
      </c>
      <c r="AM101" s="1939">
        <v>0.3</v>
      </c>
      <c r="AN101" s="1939">
        <v>0.3</v>
      </c>
      <c r="AO101" s="1939"/>
      <c r="AP101" s="1939"/>
      <c r="AQ101" s="1948">
        <v>0.3</v>
      </c>
      <c r="AR101" s="1939">
        <v>0.3</v>
      </c>
      <c r="AS101" s="1944">
        <v>0.3</v>
      </c>
      <c r="AT101" s="1945">
        <v>0.5</v>
      </c>
      <c r="AU101" s="1944">
        <v>0.5</v>
      </c>
      <c r="AV101" s="1944">
        <v>0.5</v>
      </c>
      <c r="AX101" s="1937">
        <v>3.1</v>
      </c>
      <c r="AY101" s="1941" t="s">
        <v>153</v>
      </c>
      <c r="AZ101" s="1938" t="s">
        <v>1246</v>
      </c>
      <c r="BA101" s="1944">
        <v>0.3</v>
      </c>
      <c r="BB101" s="1944">
        <v>0.3</v>
      </c>
      <c r="BC101" s="1944">
        <v>0.3</v>
      </c>
      <c r="BD101" s="1944">
        <v>0.3</v>
      </c>
      <c r="BE101" s="1944">
        <v>0.3</v>
      </c>
      <c r="BF101" s="1944"/>
      <c r="BG101" s="1944"/>
      <c r="BH101" s="1951">
        <v>0.3</v>
      </c>
      <c r="BI101" s="1944">
        <v>0.3</v>
      </c>
      <c r="BJ101" s="1944">
        <v>0.3</v>
      </c>
      <c r="BK101" s="1945">
        <v>0.5</v>
      </c>
      <c r="BL101" s="1944">
        <v>0.5</v>
      </c>
      <c r="BM101" s="1944">
        <v>0.5</v>
      </c>
      <c r="BO101" s="1937">
        <v>3.1</v>
      </c>
      <c r="BP101" s="1941" t="s">
        <v>153</v>
      </c>
      <c r="BQ101" s="1938" t="s">
        <v>1246</v>
      </c>
      <c r="BR101" s="1944">
        <v>0.3</v>
      </c>
      <c r="BS101" s="1944">
        <v>0.3</v>
      </c>
      <c r="BT101" s="1944">
        <v>0.3</v>
      </c>
      <c r="BU101" s="1944">
        <v>0.3</v>
      </c>
      <c r="BV101" s="1944">
        <v>0.3</v>
      </c>
      <c r="BW101" s="1944"/>
      <c r="BX101" s="1944"/>
      <c r="BY101" s="1951">
        <v>0.3</v>
      </c>
      <c r="BZ101" s="1944">
        <v>0.3</v>
      </c>
      <c r="CA101" s="1944">
        <v>0.3</v>
      </c>
      <c r="CB101" s="1945">
        <v>0.5</v>
      </c>
      <c r="CC101" s="1944">
        <v>0.5</v>
      </c>
      <c r="CD101" s="1944">
        <v>0.5</v>
      </c>
      <c r="CE101" s="2272"/>
      <c r="CG101" s="1937">
        <v>3.1</v>
      </c>
      <c r="CH101" s="1941" t="s">
        <v>153</v>
      </c>
      <c r="CI101" s="1938" t="s">
        <v>1246</v>
      </c>
      <c r="CJ101" s="2706">
        <v>0</v>
      </c>
      <c r="CK101" s="2706">
        <v>0</v>
      </c>
      <c r="CL101" s="2706">
        <v>0</v>
      </c>
      <c r="CM101" s="2706">
        <v>0</v>
      </c>
      <c r="CN101" s="2706">
        <v>0</v>
      </c>
      <c r="CO101" s="2706">
        <v>0</v>
      </c>
      <c r="CP101" s="2706">
        <v>0</v>
      </c>
      <c r="CQ101" s="2706">
        <v>0</v>
      </c>
      <c r="CR101" s="2706">
        <v>0</v>
      </c>
      <c r="CS101" s="2706">
        <v>0</v>
      </c>
      <c r="CT101" s="2706">
        <v>0</v>
      </c>
      <c r="CU101" s="2706">
        <v>0</v>
      </c>
      <c r="CV101" s="2706">
        <v>0</v>
      </c>
      <c r="CX101" s="1937">
        <v>3.1</v>
      </c>
      <c r="CY101" s="1941" t="s">
        <v>153</v>
      </c>
      <c r="CZ101" s="1938" t="s">
        <v>1246</v>
      </c>
      <c r="DA101" s="2695">
        <f t="shared" si="115"/>
        <v>0.3</v>
      </c>
      <c r="DB101" s="2695"/>
      <c r="DC101" s="2695"/>
      <c r="DD101" s="2695"/>
      <c r="DE101" s="2695"/>
      <c r="DF101" s="2695"/>
      <c r="DG101" s="2695"/>
      <c r="DH101" s="2695"/>
      <c r="DI101" s="2695"/>
      <c r="DJ101" s="2695"/>
      <c r="DK101" s="2695"/>
      <c r="DL101" s="2695"/>
      <c r="DM101" s="2695"/>
    </row>
    <row r="102" spans="2:117">
      <c r="B102" s="1916" t="str">
        <f t="shared" si="116"/>
        <v>3.1.1</v>
      </c>
      <c r="C102" s="1938" t="str">
        <f t="shared" si="93"/>
        <v>階高のゆとり</v>
      </c>
      <c r="D102" s="1926" t="e">
        <f>IF(I$101&gt;0,G102/I$101,0)</f>
        <v>#DIV/0!</v>
      </c>
      <c r="E102" s="1936" t="e">
        <f>IF(J$101&gt;0,H102/J$101,0)</f>
        <v>#DIV/0!</v>
      </c>
      <c r="G102" s="1936" t="e">
        <f t="shared" si="98"/>
        <v>#DIV/0!</v>
      </c>
      <c r="H102" s="1936" t="e">
        <f t="shared" si="99"/>
        <v>#DIV/0!</v>
      </c>
      <c r="I102" s="1936"/>
      <c r="J102" s="1936"/>
      <c r="K102" s="1936">
        <f>IF(スコア!O102=0,0,1)</f>
        <v>1</v>
      </c>
      <c r="L102" s="1936">
        <f>IF(スコア!R102=0,0,1)</f>
        <v>1</v>
      </c>
      <c r="M102" s="1936" t="e">
        <f t="shared" si="100"/>
        <v>#DIV/0!</v>
      </c>
      <c r="N102" s="1936" t="e">
        <f t="shared" si="120"/>
        <v>#DIV/0!</v>
      </c>
      <c r="P102" s="1937" t="str">
        <f t="shared" si="94"/>
        <v>3.1.1</v>
      </c>
      <c r="Q102" s="1937" t="str">
        <f t="shared" si="95"/>
        <v xml:space="preserve"> Q2 3.1</v>
      </c>
      <c r="R102" s="1938" t="str">
        <f t="shared" si="96"/>
        <v>階高のゆとり</v>
      </c>
      <c r="S102" s="2799">
        <f t="shared" si="74"/>
        <v>0.6</v>
      </c>
      <c r="T102" s="2799">
        <f t="shared" si="75"/>
        <v>0.6</v>
      </c>
      <c r="U102" s="2799">
        <f t="shared" si="76"/>
        <v>0.6</v>
      </c>
      <c r="V102" s="2799">
        <f t="shared" si="77"/>
        <v>0.6</v>
      </c>
      <c r="W102" s="2799">
        <f t="shared" si="78"/>
        <v>0.6</v>
      </c>
      <c r="X102" s="2799">
        <f t="shared" si="79"/>
        <v>0</v>
      </c>
      <c r="Y102" s="2799">
        <f t="shared" si="80"/>
        <v>0</v>
      </c>
      <c r="Z102" s="2801">
        <f t="shared" si="81"/>
        <v>0</v>
      </c>
      <c r="AA102" s="2799">
        <f t="shared" si="82"/>
        <v>0.6</v>
      </c>
      <c r="AB102" s="2799">
        <f t="shared" si="83"/>
        <v>0.6</v>
      </c>
      <c r="AC102" s="2800">
        <f t="shared" si="84"/>
        <v>0.6</v>
      </c>
      <c r="AD102" s="2799">
        <f t="shared" si="85"/>
        <v>0.6</v>
      </c>
      <c r="AE102" s="2799">
        <f t="shared" si="86"/>
        <v>0.6</v>
      </c>
      <c r="AG102" s="1937" t="s">
        <v>1393</v>
      </c>
      <c r="AH102" s="1941" t="s">
        <v>154</v>
      </c>
      <c r="AI102" s="1942" t="s">
        <v>155</v>
      </c>
      <c r="AJ102" s="1939">
        <v>0.6</v>
      </c>
      <c r="AK102" s="1939">
        <v>0.6</v>
      </c>
      <c r="AL102" s="1939">
        <v>0.6</v>
      </c>
      <c r="AM102" s="1939">
        <v>0.6</v>
      </c>
      <c r="AN102" s="1939">
        <v>0.6</v>
      </c>
      <c r="AO102" s="1939"/>
      <c r="AP102" s="1939"/>
      <c r="AQ102" s="1948">
        <v>0</v>
      </c>
      <c r="AR102" s="1939">
        <v>0.6</v>
      </c>
      <c r="AS102" s="1944">
        <v>0.6</v>
      </c>
      <c r="AT102" s="1945">
        <v>0.6</v>
      </c>
      <c r="AU102" s="1944">
        <v>0.6</v>
      </c>
      <c r="AV102" s="1944">
        <v>0.6</v>
      </c>
      <c r="AX102" s="1937" t="s">
        <v>1393</v>
      </c>
      <c r="AY102" s="1941" t="s">
        <v>154</v>
      </c>
      <c r="AZ102" s="1942" t="s">
        <v>155</v>
      </c>
      <c r="BA102" s="1944">
        <v>0.6</v>
      </c>
      <c r="BB102" s="1944">
        <v>0.6</v>
      </c>
      <c r="BC102" s="1944">
        <v>0.6</v>
      </c>
      <c r="BD102" s="1944">
        <v>0.6</v>
      </c>
      <c r="BE102" s="1944">
        <v>0.6</v>
      </c>
      <c r="BF102" s="1944"/>
      <c r="BG102" s="1944"/>
      <c r="BH102" s="1951">
        <v>0</v>
      </c>
      <c r="BI102" s="1944">
        <v>0.6</v>
      </c>
      <c r="BJ102" s="1944">
        <v>0.6</v>
      </c>
      <c r="BK102" s="1945">
        <v>0.6</v>
      </c>
      <c r="BL102" s="1944">
        <v>0.6</v>
      </c>
      <c r="BM102" s="1944">
        <v>0.6</v>
      </c>
      <c r="BO102" s="1937" t="s">
        <v>1393</v>
      </c>
      <c r="BP102" s="1941" t="s">
        <v>154</v>
      </c>
      <c r="BQ102" s="1942" t="s">
        <v>155</v>
      </c>
      <c r="BR102" s="1944">
        <v>0.6</v>
      </c>
      <c r="BS102" s="1944">
        <v>0.6</v>
      </c>
      <c r="BT102" s="1944">
        <v>0.6</v>
      </c>
      <c r="BU102" s="1944">
        <v>0.6</v>
      </c>
      <c r="BV102" s="1944">
        <v>0.6</v>
      </c>
      <c r="BW102" s="1944"/>
      <c r="BX102" s="1944"/>
      <c r="BY102" s="1951">
        <v>0</v>
      </c>
      <c r="BZ102" s="1944">
        <v>0.6</v>
      </c>
      <c r="CA102" s="1944">
        <v>0.6</v>
      </c>
      <c r="CB102" s="1945">
        <v>0.6</v>
      </c>
      <c r="CC102" s="1944">
        <v>0.6</v>
      </c>
      <c r="CD102" s="1944">
        <v>0.6</v>
      </c>
      <c r="CE102" s="2272"/>
      <c r="CG102" s="1937" t="s">
        <v>1140</v>
      </c>
      <c r="CH102" s="1941" t="s">
        <v>154</v>
      </c>
      <c r="CI102" s="1942" t="s">
        <v>155</v>
      </c>
      <c r="CJ102" s="2706">
        <v>0</v>
      </c>
      <c r="CK102" s="2706">
        <v>0</v>
      </c>
      <c r="CL102" s="2706">
        <v>0</v>
      </c>
      <c r="CM102" s="2706">
        <v>0</v>
      </c>
      <c r="CN102" s="2706">
        <v>0</v>
      </c>
      <c r="CO102" s="2706">
        <v>0</v>
      </c>
      <c r="CP102" s="2706">
        <v>0</v>
      </c>
      <c r="CQ102" s="2706">
        <v>0</v>
      </c>
      <c r="CR102" s="2706">
        <v>0</v>
      </c>
      <c r="CS102" s="2706">
        <v>0</v>
      </c>
      <c r="CT102" s="2706">
        <v>0</v>
      </c>
      <c r="CU102" s="2706">
        <v>0</v>
      </c>
      <c r="CV102" s="2706">
        <v>0</v>
      </c>
      <c r="CX102" s="1937" t="s">
        <v>1140</v>
      </c>
      <c r="CY102" s="1941" t="s">
        <v>154</v>
      </c>
      <c r="CZ102" s="1942" t="s">
        <v>155</v>
      </c>
      <c r="DA102" s="2924">
        <v>0</v>
      </c>
      <c r="DB102" s="2695"/>
      <c r="DC102" s="2695"/>
      <c r="DD102" s="2695"/>
      <c r="DE102" s="2695"/>
      <c r="DF102" s="2695"/>
      <c r="DG102" s="2695"/>
      <c r="DH102" s="2695"/>
      <c r="DI102" s="2695"/>
      <c r="DJ102" s="2695"/>
      <c r="DK102" s="2695"/>
      <c r="DL102" s="2695"/>
      <c r="DM102" s="2695"/>
    </row>
    <row r="103" spans="2:117">
      <c r="B103" s="1916" t="str">
        <f t="shared" si="116"/>
        <v>3.1.2</v>
      </c>
      <c r="C103" s="1938" t="str">
        <f t="shared" si="93"/>
        <v>空間の形状・自由さ</v>
      </c>
      <c r="D103" s="1926" t="e">
        <f>IF(I$101&gt;0,G103/I$101,0)</f>
        <v>#DIV/0!</v>
      </c>
      <c r="E103" s="1936" t="e">
        <f>IF(J$101&gt;0,H103/J$101,0)</f>
        <v>#DIV/0!</v>
      </c>
      <c r="G103" s="1936" t="e">
        <f t="shared" si="98"/>
        <v>#DIV/0!</v>
      </c>
      <c r="H103" s="1936" t="e">
        <f t="shared" si="99"/>
        <v>#DIV/0!</v>
      </c>
      <c r="I103" s="1936"/>
      <c r="J103" s="1936"/>
      <c r="K103" s="1936">
        <f>IF(スコア!O103=0,0,1)</f>
        <v>1</v>
      </c>
      <c r="L103" s="1936">
        <f>IF(スコア!R103=0,0,1)</f>
        <v>1</v>
      </c>
      <c r="M103" s="1936" t="e">
        <f t="shared" si="100"/>
        <v>#DIV/0!</v>
      </c>
      <c r="N103" s="1936" t="e">
        <f t="shared" si="120"/>
        <v>#DIV/0!</v>
      </c>
      <c r="P103" s="1937" t="str">
        <f t="shared" si="94"/>
        <v>3.1.2</v>
      </c>
      <c r="Q103" s="1937" t="str">
        <f t="shared" si="95"/>
        <v xml:space="preserve"> Q2 3.1</v>
      </c>
      <c r="R103" s="1938" t="str">
        <f t="shared" si="96"/>
        <v>空間の形状・自由さ</v>
      </c>
      <c r="S103" s="2799">
        <f t="shared" si="74"/>
        <v>0.4</v>
      </c>
      <c r="T103" s="2799">
        <f t="shared" si="75"/>
        <v>0.4</v>
      </c>
      <c r="U103" s="2799">
        <f t="shared" si="76"/>
        <v>0.4</v>
      </c>
      <c r="V103" s="2799">
        <f t="shared" si="77"/>
        <v>0.4</v>
      </c>
      <c r="W103" s="2799">
        <f t="shared" si="78"/>
        <v>0.4</v>
      </c>
      <c r="X103" s="2799">
        <f t="shared" si="79"/>
        <v>0</v>
      </c>
      <c r="Y103" s="2799">
        <f t="shared" si="80"/>
        <v>0</v>
      </c>
      <c r="Z103" s="2801">
        <f t="shared" si="81"/>
        <v>1</v>
      </c>
      <c r="AA103" s="2799">
        <f t="shared" si="82"/>
        <v>0.4</v>
      </c>
      <c r="AB103" s="2799">
        <f t="shared" si="83"/>
        <v>0.4</v>
      </c>
      <c r="AC103" s="2800">
        <f t="shared" si="84"/>
        <v>0.4</v>
      </c>
      <c r="AD103" s="2799">
        <f t="shared" si="85"/>
        <v>0.4</v>
      </c>
      <c r="AE103" s="2799">
        <f t="shared" si="86"/>
        <v>0.4</v>
      </c>
      <c r="AG103" s="1937" t="s">
        <v>1394</v>
      </c>
      <c r="AH103" s="1941" t="s">
        <v>154</v>
      </c>
      <c r="AI103" s="1942" t="s">
        <v>156</v>
      </c>
      <c r="AJ103" s="1939">
        <v>0.4</v>
      </c>
      <c r="AK103" s="1939">
        <v>0.4</v>
      </c>
      <c r="AL103" s="1939">
        <v>0.4</v>
      </c>
      <c r="AM103" s="1939">
        <v>0.4</v>
      </c>
      <c r="AN103" s="1939">
        <v>0.4</v>
      </c>
      <c r="AO103" s="1939"/>
      <c r="AP103" s="1939"/>
      <c r="AQ103" s="1948">
        <v>1</v>
      </c>
      <c r="AR103" s="1939">
        <v>0.4</v>
      </c>
      <c r="AS103" s="1944">
        <v>0.4</v>
      </c>
      <c r="AT103" s="1945">
        <v>0.4</v>
      </c>
      <c r="AU103" s="1944">
        <v>0.4</v>
      </c>
      <c r="AV103" s="1944">
        <v>0.4</v>
      </c>
      <c r="AX103" s="1937" t="s">
        <v>1394</v>
      </c>
      <c r="AY103" s="1941" t="s">
        <v>154</v>
      </c>
      <c r="AZ103" s="1942" t="s">
        <v>156</v>
      </c>
      <c r="BA103" s="1944">
        <v>0.4</v>
      </c>
      <c r="BB103" s="1944">
        <v>0.4</v>
      </c>
      <c r="BC103" s="1944">
        <v>0.4</v>
      </c>
      <c r="BD103" s="1944">
        <v>0.4</v>
      </c>
      <c r="BE103" s="1944">
        <v>0.4</v>
      </c>
      <c r="BF103" s="1944"/>
      <c r="BG103" s="1944"/>
      <c r="BH103" s="1951">
        <v>1</v>
      </c>
      <c r="BI103" s="1944">
        <v>0.4</v>
      </c>
      <c r="BJ103" s="1944">
        <v>0.4</v>
      </c>
      <c r="BK103" s="1945">
        <v>0.4</v>
      </c>
      <c r="BL103" s="1944">
        <v>0.4</v>
      </c>
      <c r="BM103" s="1944">
        <v>0.4</v>
      </c>
      <c r="BO103" s="1937" t="s">
        <v>1394</v>
      </c>
      <c r="BP103" s="1941" t="s">
        <v>154</v>
      </c>
      <c r="BQ103" s="1942" t="s">
        <v>156</v>
      </c>
      <c r="BR103" s="1944">
        <v>0.4</v>
      </c>
      <c r="BS103" s="1944">
        <v>0.4</v>
      </c>
      <c r="BT103" s="1944">
        <v>0.4</v>
      </c>
      <c r="BU103" s="1944">
        <v>0.4</v>
      </c>
      <c r="BV103" s="1944">
        <v>0.4</v>
      </c>
      <c r="BW103" s="1944"/>
      <c r="BX103" s="1944"/>
      <c r="BY103" s="1951">
        <v>1</v>
      </c>
      <c r="BZ103" s="1944">
        <v>0.4</v>
      </c>
      <c r="CA103" s="1944">
        <v>0.4</v>
      </c>
      <c r="CB103" s="1945">
        <v>0.4</v>
      </c>
      <c r="CC103" s="1944">
        <v>0.4</v>
      </c>
      <c r="CD103" s="1944">
        <v>0.4</v>
      </c>
      <c r="CE103" s="2272"/>
      <c r="CG103" s="1937" t="s">
        <v>1141</v>
      </c>
      <c r="CH103" s="1941" t="s">
        <v>154</v>
      </c>
      <c r="CI103" s="1942" t="s">
        <v>156</v>
      </c>
      <c r="CJ103" s="2706">
        <v>0</v>
      </c>
      <c r="CK103" s="2706">
        <v>0</v>
      </c>
      <c r="CL103" s="2706">
        <v>0</v>
      </c>
      <c r="CM103" s="2706">
        <v>0</v>
      </c>
      <c r="CN103" s="2706">
        <v>0</v>
      </c>
      <c r="CO103" s="2706">
        <v>0</v>
      </c>
      <c r="CP103" s="2706">
        <v>0</v>
      </c>
      <c r="CQ103" s="2706">
        <v>0</v>
      </c>
      <c r="CR103" s="2706">
        <v>0</v>
      </c>
      <c r="CS103" s="2706">
        <v>0</v>
      </c>
      <c r="CT103" s="2706">
        <v>0</v>
      </c>
      <c r="CU103" s="2706">
        <v>0</v>
      </c>
      <c r="CV103" s="2706">
        <v>0</v>
      </c>
      <c r="CX103" s="1937" t="s">
        <v>1141</v>
      </c>
      <c r="CY103" s="1941" t="s">
        <v>154</v>
      </c>
      <c r="CZ103" s="1942" t="s">
        <v>156</v>
      </c>
      <c r="DA103" s="2924">
        <v>1</v>
      </c>
      <c r="DB103" s="2695"/>
      <c r="DC103" s="2695"/>
      <c r="DD103" s="2695"/>
      <c r="DE103" s="2695"/>
      <c r="DF103" s="2695"/>
      <c r="DG103" s="2695"/>
      <c r="DH103" s="2695"/>
      <c r="DI103" s="2695"/>
      <c r="DJ103" s="2695"/>
      <c r="DK103" s="2695"/>
      <c r="DL103" s="2695"/>
      <c r="DM103" s="2695"/>
    </row>
    <row r="104" spans="2:117">
      <c r="B104" s="1916">
        <f t="shared" si="116"/>
        <v>3.2</v>
      </c>
      <c r="C104" s="1938" t="str">
        <f t="shared" si="93"/>
        <v>荷重のゆとり</v>
      </c>
      <c r="D104" s="1935" t="e">
        <f>IF(I$100=0,0,G104/I$100)</f>
        <v>#DIV/0!</v>
      </c>
      <c r="E104" s="1936" t="e">
        <f>IF(J$100=0,0,H104/J$100)</f>
        <v>#DIV/0!</v>
      </c>
      <c r="G104" s="1936" t="e">
        <f t="shared" si="98"/>
        <v>#DIV/0!</v>
      </c>
      <c r="H104" s="1936" t="e">
        <f t="shared" si="99"/>
        <v>#DIV/0!</v>
      </c>
      <c r="I104" s="1936"/>
      <c r="J104" s="1936"/>
      <c r="K104" s="1936">
        <f>IF(スコア!O104=0,0,1)</f>
        <v>1</v>
      </c>
      <c r="L104" s="1936">
        <f>IF(スコア!R104=0,0,1)</f>
        <v>1</v>
      </c>
      <c r="M104" s="1936" t="e">
        <f t="shared" si="100"/>
        <v>#DIV/0!</v>
      </c>
      <c r="N104" s="1936" t="e">
        <f t="shared" si="120"/>
        <v>#DIV/0!</v>
      </c>
      <c r="P104" s="1937">
        <f t="shared" si="94"/>
        <v>3.2</v>
      </c>
      <c r="Q104" s="1937" t="str">
        <f t="shared" si="95"/>
        <v xml:space="preserve"> Q2 3</v>
      </c>
      <c r="R104" s="1938" t="str">
        <f t="shared" si="96"/>
        <v>荷重のゆとり</v>
      </c>
      <c r="S104" s="2799">
        <f t="shared" si="74"/>
        <v>0.3</v>
      </c>
      <c r="T104" s="2799">
        <f t="shared" si="75"/>
        <v>0.3</v>
      </c>
      <c r="U104" s="2799">
        <f t="shared" si="76"/>
        <v>0.3</v>
      </c>
      <c r="V104" s="2799">
        <f t="shared" si="77"/>
        <v>0.3</v>
      </c>
      <c r="W104" s="2799">
        <f t="shared" si="78"/>
        <v>0.3</v>
      </c>
      <c r="X104" s="2799">
        <f t="shared" si="79"/>
        <v>0</v>
      </c>
      <c r="Y104" s="2799">
        <f t="shared" si="80"/>
        <v>0</v>
      </c>
      <c r="Z104" s="2801">
        <f t="shared" si="81"/>
        <v>0.3</v>
      </c>
      <c r="AA104" s="2799">
        <f t="shared" si="82"/>
        <v>0.3</v>
      </c>
      <c r="AB104" s="2799">
        <f t="shared" si="83"/>
        <v>0.3</v>
      </c>
      <c r="AC104" s="2800">
        <f t="shared" si="84"/>
        <v>0.5</v>
      </c>
      <c r="AD104" s="2799">
        <f t="shared" si="85"/>
        <v>0.5</v>
      </c>
      <c r="AE104" s="2799">
        <f t="shared" si="86"/>
        <v>0.5</v>
      </c>
      <c r="AG104" s="1937">
        <v>3.2</v>
      </c>
      <c r="AH104" s="1941" t="s">
        <v>153</v>
      </c>
      <c r="AI104" s="1938" t="s">
        <v>1249</v>
      </c>
      <c r="AJ104" s="1939">
        <v>0.3</v>
      </c>
      <c r="AK104" s="1939">
        <v>0.3</v>
      </c>
      <c r="AL104" s="1939">
        <v>0.3</v>
      </c>
      <c r="AM104" s="1939">
        <v>0.3</v>
      </c>
      <c r="AN104" s="1939">
        <v>0.3</v>
      </c>
      <c r="AO104" s="1939"/>
      <c r="AP104" s="1939"/>
      <c r="AQ104" s="1948">
        <v>0.3</v>
      </c>
      <c r="AR104" s="1939">
        <v>0.3</v>
      </c>
      <c r="AS104" s="1944">
        <v>0.3</v>
      </c>
      <c r="AT104" s="1945">
        <v>0.5</v>
      </c>
      <c r="AU104" s="1944">
        <v>0.5</v>
      </c>
      <c r="AV104" s="1944">
        <v>0.5</v>
      </c>
      <c r="AX104" s="1937">
        <v>3.2</v>
      </c>
      <c r="AY104" s="1941" t="s">
        <v>153</v>
      </c>
      <c r="AZ104" s="1938" t="s">
        <v>1249</v>
      </c>
      <c r="BA104" s="1944">
        <v>0.3</v>
      </c>
      <c r="BB104" s="1944">
        <v>0.3</v>
      </c>
      <c r="BC104" s="1944">
        <v>0.3</v>
      </c>
      <c r="BD104" s="1944">
        <v>0.3</v>
      </c>
      <c r="BE104" s="1944">
        <v>0.3</v>
      </c>
      <c r="BF104" s="1944"/>
      <c r="BG104" s="1944"/>
      <c r="BH104" s="1951">
        <v>0.3</v>
      </c>
      <c r="BI104" s="1944">
        <v>0.3</v>
      </c>
      <c r="BJ104" s="1944">
        <v>0.3</v>
      </c>
      <c r="BK104" s="1945">
        <v>0.5</v>
      </c>
      <c r="BL104" s="1944">
        <v>0.5</v>
      </c>
      <c r="BM104" s="1944">
        <v>0.5</v>
      </c>
      <c r="BO104" s="1937">
        <v>3.2</v>
      </c>
      <c r="BP104" s="1941" t="s">
        <v>153</v>
      </c>
      <c r="BQ104" s="1938" t="s">
        <v>1249</v>
      </c>
      <c r="BR104" s="1944">
        <v>0.3</v>
      </c>
      <c r="BS104" s="1944">
        <v>0.3</v>
      </c>
      <c r="BT104" s="1944">
        <v>0.3</v>
      </c>
      <c r="BU104" s="1944">
        <v>0.3</v>
      </c>
      <c r="BV104" s="1944">
        <v>0.3</v>
      </c>
      <c r="BW104" s="1944"/>
      <c r="BX104" s="1944"/>
      <c r="BY104" s="1951">
        <v>0.3</v>
      </c>
      <c r="BZ104" s="1944">
        <v>0.3</v>
      </c>
      <c r="CA104" s="1944">
        <v>0.3</v>
      </c>
      <c r="CB104" s="1945">
        <v>0.5</v>
      </c>
      <c r="CC104" s="1944">
        <v>0.5</v>
      </c>
      <c r="CD104" s="1944">
        <v>0.5</v>
      </c>
      <c r="CE104" s="2272"/>
      <c r="CG104" s="1937">
        <v>3.2</v>
      </c>
      <c r="CH104" s="1941" t="s">
        <v>153</v>
      </c>
      <c r="CI104" s="1938" t="s">
        <v>1249</v>
      </c>
      <c r="CJ104" s="2706">
        <v>0</v>
      </c>
      <c r="CK104" s="2706">
        <v>0</v>
      </c>
      <c r="CL104" s="2706">
        <v>0</v>
      </c>
      <c r="CM104" s="2706">
        <v>0</v>
      </c>
      <c r="CN104" s="2706">
        <v>0</v>
      </c>
      <c r="CO104" s="2706">
        <v>0</v>
      </c>
      <c r="CP104" s="2706">
        <v>0</v>
      </c>
      <c r="CQ104" s="2706">
        <v>0</v>
      </c>
      <c r="CR104" s="2706">
        <v>0</v>
      </c>
      <c r="CS104" s="2706">
        <v>0</v>
      </c>
      <c r="CT104" s="2706">
        <v>0</v>
      </c>
      <c r="CU104" s="2706">
        <v>0</v>
      </c>
      <c r="CV104" s="2706">
        <v>0</v>
      </c>
      <c r="CX104" s="1937">
        <v>3.2</v>
      </c>
      <c r="CY104" s="1941" t="s">
        <v>153</v>
      </c>
      <c r="CZ104" s="1938" t="s">
        <v>1249</v>
      </c>
      <c r="DA104" s="2695">
        <f t="shared" si="115"/>
        <v>0.3</v>
      </c>
      <c r="DB104" s="2695"/>
      <c r="DC104" s="2695"/>
      <c r="DD104" s="2695"/>
      <c r="DE104" s="2695"/>
      <c r="DF104" s="2695"/>
      <c r="DG104" s="2695"/>
      <c r="DH104" s="2695"/>
      <c r="DI104" s="2695"/>
      <c r="DJ104" s="2695"/>
      <c r="DK104" s="2695"/>
      <c r="DL104" s="2695"/>
      <c r="DM104" s="2695"/>
    </row>
    <row r="105" spans="2:117">
      <c r="B105" s="1916">
        <f t="shared" si="116"/>
        <v>3.3</v>
      </c>
      <c r="C105" s="1938" t="str">
        <f t="shared" si="93"/>
        <v>設備の更新性</v>
      </c>
      <c r="D105" s="1935" t="e">
        <f>IF(I$100=0,0,G105/I$100)</f>
        <v>#DIV/0!</v>
      </c>
      <c r="E105" s="1936" t="e">
        <f>IF(J$100=0,0,H105/J$100)</f>
        <v>#DIV/0!</v>
      </c>
      <c r="G105" s="1936" t="e">
        <f t="shared" si="98"/>
        <v>#DIV/0!</v>
      </c>
      <c r="H105" s="1936" t="e">
        <f t="shared" si="99"/>
        <v>#DIV/0!</v>
      </c>
      <c r="I105" s="1936" t="e">
        <f>SUM(G106:G111)</f>
        <v>#DIV/0!</v>
      </c>
      <c r="J105" s="1936" t="e">
        <f>SUM(H106:H111)</f>
        <v>#DIV/0!</v>
      </c>
      <c r="K105" s="1936" t="e">
        <f>IF(スコア!O105=0,0,1)</f>
        <v>#DIV/0!</v>
      </c>
      <c r="L105" s="1936" t="e">
        <f>IF(スコア!R105=0,0,1)</f>
        <v>#DIV/0!</v>
      </c>
      <c r="M105" s="1936" t="e">
        <f t="shared" si="100"/>
        <v>#DIV/0!</v>
      </c>
      <c r="N105" s="1936" t="e">
        <f t="shared" si="120"/>
        <v>#DIV/0!</v>
      </c>
      <c r="P105" s="1937">
        <f t="shared" si="94"/>
        <v>3.3</v>
      </c>
      <c r="Q105" s="1937" t="str">
        <f t="shared" si="95"/>
        <v xml:space="preserve"> Q2 3</v>
      </c>
      <c r="R105" s="1938" t="str">
        <f t="shared" si="96"/>
        <v>設備の更新性</v>
      </c>
      <c r="S105" s="2799">
        <f t="shared" si="74"/>
        <v>0.4</v>
      </c>
      <c r="T105" s="2799">
        <f t="shared" si="75"/>
        <v>0.4</v>
      </c>
      <c r="U105" s="2799">
        <f t="shared" si="76"/>
        <v>0.4</v>
      </c>
      <c r="V105" s="2799">
        <f t="shared" si="77"/>
        <v>0.4</v>
      </c>
      <c r="W105" s="2799">
        <f t="shared" si="78"/>
        <v>0.4</v>
      </c>
      <c r="X105" s="2799">
        <f t="shared" si="79"/>
        <v>1</v>
      </c>
      <c r="Y105" s="2799">
        <f t="shared" si="80"/>
        <v>1</v>
      </c>
      <c r="Z105" s="2801">
        <f t="shared" si="81"/>
        <v>0.4</v>
      </c>
      <c r="AA105" s="2799">
        <f t="shared" si="82"/>
        <v>0.4</v>
      </c>
      <c r="AB105" s="2799">
        <f t="shared" si="83"/>
        <v>0.4</v>
      </c>
      <c r="AC105" s="2800">
        <f t="shared" si="84"/>
        <v>0</v>
      </c>
      <c r="AD105" s="2799">
        <f t="shared" si="85"/>
        <v>0</v>
      </c>
      <c r="AE105" s="2799">
        <f t="shared" si="86"/>
        <v>0</v>
      </c>
      <c r="AG105" s="1937">
        <v>3.3</v>
      </c>
      <c r="AH105" s="1941" t="s">
        <v>153</v>
      </c>
      <c r="AI105" s="1938" t="s">
        <v>1250</v>
      </c>
      <c r="AJ105" s="1939">
        <v>0.4</v>
      </c>
      <c r="AK105" s="1939">
        <v>0.4</v>
      </c>
      <c r="AL105" s="1939">
        <v>0.4</v>
      </c>
      <c r="AM105" s="1939">
        <v>0.4</v>
      </c>
      <c r="AN105" s="1939">
        <v>0.4</v>
      </c>
      <c r="AO105" s="1939">
        <v>1</v>
      </c>
      <c r="AP105" s="1939">
        <v>1</v>
      </c>
      <c r="AQ105" s="1948">
        <v>0.4</v>
      </c>
      <c r="AR105" s="1939">
        <v>0.4</v>
      </c>
      <c r="AS105" s="1944">
        <v>0.4</v>
      </c>
      <c r="AT105" s="1945"/>
      <c r="AU105" s="1944"/>
      <c r="AV105" s="1944"/>
      <c r="AX105" s="1937">
        <v>3.3</v>
      </c>
      <c r="AY105" s="1941" t="s">
        <v>153</v>
      </c>
      <c r="AZ105" s="1938" t="s">
        <v>1250</v>
      </c>
      <c r="BA105" s="1944">
        <v>0.4</v>
      </c>
      <c r="BB105" s="1944">
        <v>0.4</v>
      </c>
      <c r="BC105" s="1944">
        <v>0.4</v>
      </c>
      <c r="BD105" s="1944">
        <v>0.4</v>
      </c>
      <c r="BE105" s="1944">
        <v>0.4</v>
      </c>
      <c r="BF105" s="1944">
        <v>1</v>
      </c>
      <c r="BG105" s="1944">
        <v>1</v>
      </c>
      <c r="BH105" s="1951">
        <v>0.4</v>
      </c>
      <c r="BI105" s="1944">
        <v>0.4</v>
      </c>
      <c r="BJ105" s="1944">
        <v>0.4</v>
      </c>
      <c r="BK105" s="1945"/>
      <c r="BL105" s="1944"/>
      <c r="BM105" s="1944"/>
      <c r="BO105" s="1937">
        <v>3.3</v>
      </c>
      <c r="BP105" s="1941" t="s">
        <v>153</v>
      </c>
      <c r="BQ105" s="1938" t="s">
        <v>1250</v>
      </c>
      <c r="BR105" s="1944">
        <v>0.4</v>
      </c>
      <c r="BS105" s="1944">
        <v>0.4</v>
      </c>
      <c r="BT105" s="1944">
        <v>0.4</v>
      </c>
      <c r="BU105" s="1944">
        <v>0.4</v>
      </c>
      <c r="BV105" s="1944">
        <v>0.4</v>
      </c>
      <c r="BW105" s="1944">
        <v>1</v>
      </c>
      <c r="BX105" s="1944">
        <v>1</v>
      </c>
      <c r="BY105" s="1951">
        <v>0.4</v>
      </c>
      <c r="BZ105" s="1944">
        <v>0.4</v>
      </c>
      <c r="CA105" s="1944">
        <v>0.4</v>
      </c>
      <c r="CB105" s="1945"/>
      <c r="CC105" s="1944"/>
      <c r="CD105" s="1944"/>
      <c r="CE105" s="2272"/>
      <c r="CG105" s="1937">
        <v>3.3</v>
      </c>
      <c r="CH105" s="1941" t="s">
        <v>153</v>
      </c>
      <c r="CI105" s="1938" t="s">
        <v>1250</v>
      </c>
      <c r="CJ105" s="2706">
        <v>0</v>
      </c>
      <c r="CK105" s="2706">
        <v>0</v>
      </c>
      <c r="CL105" s="2706">
        <v>0</v>
      </c>
      <c r="CM105" s="2706">
        <v>0</v>
      </c>
      <c r="CN105" s="2706">
        <v>0</v>
      </c>
      <c r="CO105" s="2706">
        <v>0</v>
      </c>
      <c r="CP105" s="2706">
        <v>0</v>
      </c>
      <c r="CQ105" s="2706">
        <v>0</v>
      </c>
      <c r="CR105" s="2706">
        <v>0</v>
      </c>
      <c r="CS105" s="2706">
        <v>0</v>
      </c>
      <c r="CT105" s="2706">
        <v>0</v>
      </c>
      <c r="CU105" s="2706">
        <v>0</v>
      </c>
      <c r="CV105" s="2706">
        <v>0</v>
      </c>
      <c r="CX105" s="1937">
        <v>3.3</v>
      </c>
      <c r="CY105" s="1941" t="s">
        <v>153</v>
      </c>
      <c r="CZ105" s="1938" t="s">
        <v>1250</v>
      </c>
      <c r="DA105" s="2695">
        <f t="shared" si="115"/>
        <v>0.4</v>
      </c>
      <c r="DB105" s="2695"/>
      <c r="DC105" s="2695"/>
      <c r="DD105" s="2695"/>
      <c r="DE105" s="2695"/>
      <c r="DF105" s="2695"/>
      <c r="DG105" s="2695"/>
      <c r="DH105" s="2695"/>
      <c r="DI105" s="2695"/>
      <c r="DJ105" s="2695"/>
      <c r="DK105" s="2695"/>
      <c r="DL105" s="2695"/>
      <c r="DM105" s="2695"/>
    </row>
    <row r="106" spans="2:117">
      <c r="B106" s="1916" t="str">
        <f t="shared" si="116"/>
        <v>3.3.1</v>
      </c>
      <c r="C106" s="1938" t="str">
        <f t="shared" si="93"/>
        <v>空調配管の更新性</v>
      </c>
      <c r="D106" s="1926" t="e">
        <f>IF(I$105&gt;0,G106/I$105,0)</f>
        <v>#DIV/0!</v>
      </c>
      <c r="E106" s="1936" t="e">
        <f t="shared" ref="D106:E111" si="121">IF(J$105&gt;0,H106/J$105,0)</f>
        <v>#DIV/0!</v>
      </c>
      <c r="G106" s="1936" t="e">
        <f t="shared" si="98"/>
        <v>#DIV/0!</v>
      </c>
      <c r="H106" s="1936" t="e">
        <f t="shared" si="99"/>
        <v>#DIV/0!</v>
      </c>
      <c r="I106" s="1936"/>
      <c r="J106" s="1936"/>
      <c r="K106" s="1936">
        <f>IF(スコア!O106=0,0,1)</f>
        <v>1</v>
      </c>
      <c r="L106" s="1936">
        <f>IF(スコア!R106=0,0,1)</f>
        <v>0</v>
      </c>
      <c r="M106" s="1936" t="e">
        <f t="shared" si="100"/>
        <v>#DIV/0!</v>
      </c>
      <c r="N106" s="1936" t="e">
        <f t="shared" si="120"/>
        <v>#DIV/0!</v>
      </c>
      <c r="P106" s="1937" t="str">
        <f t="shared" si="94"/>
        <v>3.3.1</v>
      </c>
      <c r="Q106" s="1937" t="str">
        <f t="shared" si="95"/>
        <v xml:space="preserve"> Q2 3.3</v>
      </c>
      <c r="R106" s="1938" t="str">
        <f t="shared" si="96"/>
        <v>空調配管の更新性</v>
      </c>
      <c r="S106" s="2799">
        <f t="shared" si="74"/>
        <v>0.2</v>
      </c>
      <c r="T106" s="2799">
        <f t="shared" si="75"/>
        <v>0.2</v>
      </c>
      <c r="U106" s="2799">
        <f t="shared" si="76"/>
        <v>0.2</v>
      </c>
      <c r="V106" s="2799">
        <f t="shared" si="77"/>
        <v>0.2</v>
      </c>
      <c r="W106" s="2799">
        <f t="shared" si="78"/>
        <v>0.2</v>
      </c>
      <c r="X106" s="2799">
        <f t="shared" si="79"/>
        <v>0.2</v>
      </c>
      <c r="Y106" s="2799">
        <f t="shared" si="80"/>
        <v>0.2</v>
      </c>
      <c r="Z106" s="2801">
        <f t="shared" si="81"/>
        <v>0.2</v>
      </c>
      <c r="AA106" s="2799">
        <f t="shared" si="82"/>
        <v>0.2</v>
      </c>
      <c r="AB106" s="2799">
        <f t="shared" si="83"/>
        <v>0.2</v>
      </c>
      <c r="AC106" s="2800">
        <f t="shared" si="84"/>
        <v>0</v>
      </c>
      <c r="AD106" s="2799">
        <f t="shared" si="85"/>
        <v>0</v>
      </c>
      <c r="AE106" s="2799">
        <f t="shared" si="86"/>
        <v>0</v>
      </c>
      <c r="AG106" s="1937" t="s">
        <v>1395</v>
      </c>
      <c r="AH106" s="1941" t="s">
        <v>157</v>
      </c>
      <c r="AI106" s="1942" t="s">
        <v>158</v>
      </c>
      <c r="AJ106" s="1939">
        <v>0.2</v>
      </c>
      <c r="AK106" s="1939">
        <v>0.2</v>
      </c>
      <c r="AL106" s="1939">
        <v>0.2</v>
      </c>
      <c r="AM106" s="1939">
        <v>0.2</v>
      </c>
      <c r="AN106" s="1939">
        <v>0.2</v>
      </c>
      <c r="AO106" s="1939">
        <v>0.2</v>
      </c>
      <c r="AP106" s="1939">
        <v>0.2</v>
      </c>
      <c r="AQ106" s="1948">
        <v>0.2</v>
      </c>
      <c r="AR106" s="1939">
        <v>0.2</v>
      </c>
      <c r="AS106" s="1944">
        <v>0.2</v>
      </c>
      <c r="AT106" s="1945"/>
      <c r="AU106" s="1944"/>
      <c r="AV106" s="1944"/>
      <c r="AX106" s="1937" t="s">
        <v>1395</v>
      </c>
      <c r="AY106" s="1941" t="s">
        <v>157</v>
      </c>
      <c r="AZ106" s="1942" t="s">
        <v>158</v>
      </c>
      <c r="BA106" s="1944">
        <v>0.2</v>
      </c>
      <c r="BB106" s="1944">
        <v>0.2</v>
      </c>
      <c r="BC106" s="1944">
        <v>0.2</v>
      </c>
      <c r="BD106" s="1944">
        <v>0.2</v>
      </c>
      <c r="BE106" s="1944">
        <v>0.2</v>
      </c>
      <c r="BF106" s="1944">
        <v>0.2</v>
      </c>
      <c r="BG106" s="1944">
        <v>0.2</v>
      </c>
      <c r="BH106" s="1951">
        <v>0.2</v>
      </c>
      <c r="BI106" s="1944">
        <v>0.2</v>
      </c>
      <c r="BJ106" s="1944">
        <v>0.2</v>
      </c>
      <c r="BK106" s="1945"/>
      <c r="BL106" s="1944"/>
      <c r="BM106" s="1944"/>
      <c r="BO106" s="1937" t="s">
        <v>1395</v>
      </c>
      <c r="BP106" s="1941" t="s">
        <v>157</v>
      </c>
      <c r="BQ106" s="1942" t="s">
        <v>158</v>
      </c>
      <c r="BR106" s="1944">
        <v>0.2</v>
      </c>
      <c r="BS106" s="1944">
        <v>0.2</v>
      </c>
      <c r="BT106" s="1944">
        <v>0.2</v>
      </c>
      <c r="BU106" s="1944">
        <v>0.2</v>
      </c>
      <c r="BV106" s="1944">
        <v>0.2</v>
      </c>
      <c r="BW106" s="1944">
        <v>0.2</v>
      </c>
      <c r="BX106" s="1944">
        <v>0.2</v>
      </c>
      <c r="BY106" s="1951">
        <v>0.2</v>
      </c>
      <c r="BZ106" s="1944">
        <v>0.2</v>
      </c>
      <c r="CA106" s="1944">
        <v>0.2</v>
      </c>
      <c r="CB106" s="1945"/>
      <c r="CC106" s="1944"/>
      <c r="CD106" s="1944"/>
      <c r="CE106" s="2272"/>
      <c r="CG106" s="1937" t="s">
        <v>1395</v>
      </c>
      <c r="CH106" s="1941" t="s">
        <v>157</v>
      </c>
      <c r="CI106" s="1942" t="s">
        <v>158</v>
      </c>
      <c r="CJ106" s="2706">
        <v>0</v>
      </c>
      <c r="CK106" s="2706">
        <v>0</v>
      </c>
      <c r="CL106" s="2706">
        <v>0</v>
      </c>
      <c r="CM106" s="2706">
        <v>0</v>
      </c>
      <c r="CN106" s="2706">
        <v>0</v>
      </c>
      <c r="CO106" s="2706">
        <v>0</v>
      </c>
      <c r="CP106" s="2706">
        <v>0</v>
      </c>
      <c r="CQ106" s="2706">
        <v>0</v>
      </c>
      <c r="CR106" s="2706">
        <v>0</v>
      </c>
      <c r="CS106" s="2706">
        <v>0</v>
      </c>
      <c r="CT106" s="2706">
        <v>0</v>
      </c>
      <c r="CU106" s="2706">
        <v>0</v>
      </c>
      <c r="CV106" s="2706">
        <v>0</v>
      </c>
      <c r="CX106" s="1937" t="s">
        <v>1395</v>
      </c>
      <c r="CY106" s="1941" t="s">
        <v>157</v>
      </c>
      <c r="CZ106" s="1942" t="s">
        <v>158</v>
      </c>
      <c r="DA106" s="2924">
        <v>0</v>
      </c>
      <c r="DB106" s="2695"/>
      <c r="DC106" s="2695"/>
      <c r="DD106" s="2695"/>
      <c r="DE106" s="2695"/>
      <c r="DF106" s="2695"/>
      <c r="DG106" s="2695"/>
      <c r="DH106" s="2695"/>
      <c r="DI106" s="2695"/>
      <c r="DJ106" s="2695"/>
      <c r="DK106" s="2695"/>
      <c r="DL106" s="2695"/>
      <c r="DM106" s="2695"/>
    </row>
    <row r="107" spans="2:117">
      <c r="B107" s="1916" t="str">
        <f t="shared" si="116"/>
        <v>3.3.2</v>
      </c>
      <c r="C107" s="1938" t="str">
        <f t="shared" si="93"/>
        <v>給排水管の更新性</v>
      </c>
      <c r="D107" s="1926" t="e">
        <f t="shared" si="121"/>
        <v>#DIV/0!</v>
      </c>
      <c r="E107" s="1936" t="e">
        <f t="shared" si="121"/>
        <v>#DIV/0!</v>
      </c>
      <c r="G107" s="1936" t="e">
        <f t="shared" si="98"/>
        <v>#DIV/0!</v>
      </c>
      <c r="H107" s="1936" t="e">
        <f t="shared" si="99"/>
        <v>#DIV/0!</v>
      </c>
      <c r="I107" s="1936"/>
      <c r="J107" s="1936"/>
      <c r="K107" s="1936">
        <f>IF(スコア!O107=0,0,1)</f>
        <v>1</v>
      </c>
      <c r="L107" s="1936">
        <f>IF(スコア!R107=0,0,1)</f>
        <v>0</v>
      </c>
      <c r="M107" s="1936" t="e">
        <f t="shared" si="100"/>
        <v>#DIV/0!</v>
      </c>
      <c r="N107" s="1936" t="e">
        <f t="shared" si="120"/>
        <v>#DIV/0!</v>
      </c>
      <c r="P107" s="1937" t="str">
        <f t="shared" si="94"/>
        <v>3.3.2</v>
      </c>
      <c r="Q107" s="1937" t="str">
        <f t="shared" si="95"/>
        <v xml:space="preserve"> Q2 3.3</v>
      </c>
      <c r="R107" s="1938" t="str">
        <f t="shared" si="96"/>
        <v>給排水管の更新性</v>
      </c>
      <c r="S107" s="2799">
        <f t="shared" si="74"/>
        <v>0.2</v>
      </c>
      <c r="T107" s="2799">
        <f t="shared" si="75"/>
        <v>0.2</v>
      </c>
      <c r="U107" s="2799">
        <f t="shared" si="76"/>
        <v>0.2</v>
      </c>
      <c r="V107" s="2799">
        <f t="shared" si="77"/>
        <v>0.2</v>
      </c>
      <c r="W107" s="2799">
        <f t="shared" si="78"/>
        <v>0.2</v>
      </c>
      <c r="X107" s="2799">
        <f t="shared" si="79"/>
        <v>0.2</v>
      </c>
      <c r="Y107" s="2799">
        <f t="shared" si="80"/>
        <v>0.2</v>
      </c>
      <c r="Z107" s="2801">
        <f t="shared" si="81"/>
        <v>0.2</v>
      </c>
      <c r="AA107" s="2799">
        <f t="shared" si="82"/>
        <v>0.2</v>
      </c>
      <c r="AB107" s="2799">
        <f t="shared" si="83"/>
        <v>0.2</v>
      </c>
      <c r="AC107" s="2800">
        <f t="shared" si="84"/>
        <v>0</v>
      </c>
      <c r="AD107" s="2799">
        <f t="shared" si="85"/>
        <v>0</v>
      </c>
      <c r="AE107" s="2799">
        <f t="shared" si="86"/>
        <v>0</v>
      </c>
      <c r="AG107" s="1937" t="s">
        <v>1396</v>
      </c>
      <c r="AH107" s="1941" t="s">
        <v>157</v>
      </c>
      <c r="AI107" s="1942" t="s">
        <v>159</v>
      </c>
      <c r="AJ107" s="1939">
        <v>0.2</v>
      </c>
      <c r="AK107" s="1939">
        <v>0.2</v>
      </c>
      <c r="AL107" s="1939">
        <v>0.2</v>
      </c>
      <c r="AM107" s="1939">
        <v>0.2</v>
      </c>
      <c r="AN107" s="1939">
        <v>0.2</v>
      </c>
      <c r="AO107" s="1939">
        <v>0.2</v>
      </c>
      <c r="AP107" s="1939">
        <v>0.2</v>
      </c>
      <c r="AQ107" s="1948">
        <v>0.2</v>
      </c>
      <c r="AR107" s="1939">
        <v>0.2</v>
      </c>
      <c r="AS107" s="1944">
        <v>0.2</v>
      </c>
      <c r="AT107" s="1945"/>
      <c r="AU107" s="1944"/>
      <c r="AV107" s="1944"/>
      <c r="AX107" s="1937" t="s">
        <v>1396</v>
      </c>
      <c r="AY107" s="1941" t="s">
        <v>157</v>
      </c>
      <c r="AZ107" s="1942" t="s">
        <v>159</v>
      </c>
      <c r="BA107" s="1944">
        <v>0.2</v>
      </c>
      <c r="BB107" s="1944">
        <v>0.2</v>
      </c>
      <c r="BC107" s="1944">
        <v>0.2</v>
      </c>
      <c r="BD107" s="1944">
        <v>0.2</v>
      </c>
      <c r="BE107" s="1944">
        <v>0.2</v>
      </c>
      <c r="BF107" s="1944">
        <v>0.2</v>
      </c>
      <c r="BG107" s="1944">
        <v>0.2</v>
      </c>
      <c r="BH107" s="1951">
        <v>0.2</v>
      </c>
      <c r="BI107" s="1944">
        <v>0.2</v>
      </c>
      <c r="BJ107" s="1944">
        <v>0.2</v>
      </c>
      <c r="BK107" s="1945"/>
      <c r="BL107" s="1944"/>
      <c r="BM107" s="1944"/>
      <c r="BO107" s="1937" t="s">
        <v>1396</v>
      </c>
      <c r="BP107" s="1941" t="s">
        <v>157</v>
      </c>
      <c r="BQ107" s="1942" t="s">
        <v>159</v>
      </c>
      <c r="BR107" s="1944">
        <v>0.2</v>
      </c>
      <c r="BS107" s="1944">
        <v>0.2</v>
      </c>
      <c r="BT107" s="1944">
        <v>0.2</v>
      </c>
      <c r="BU107" s="1944">
        <v>0.2</v>
      </c>
      <c r="BV107" s="1944">
        <v>0.2</v>
      </c>
      <c r="BW107" s="1944">
        <v>0.2</v>
      </c>
      <c r="BX107" s="1944">
        <v>0.2</v>
      </c>
      <c r="BY107" s="1951">
        <v>0.2</v>
      </c>
      <c r="BZ107" s="1944">
        <v>0.2</v>
      </c>
      <c r="CA107" s="1944">
        <v>0.2</v>
      </c>
      <c r="CB107" s="1945"/>
      <c r="CC107" s="1944"/>
      <c r="CD107" s="1944"/>
      <c r="CE107" s="2272"/>
      <c r="CG107" s="1937" t="s">
        <v>1396</v>
      </c>
      <c r="CH107" s="1941" t="s">
        <v>157</v>
      </c>
      <c r="CI107" s="1942" t="s">
        <v>159</v>
      </c>
      <c r="CJ107" s="2706">
        <v>0</v>
      </c>
      <c r="CK107" s="2706">
        <v>0</v>
      </c>
      <c r="CL107" s="2706">
        <v>0</v>
      </c>
      <c r="CM107" s="2706">
        <v>0</v>
      </c>
      <c r="CN107" s="2706">
        <v>0</v>
      </c>
      <c r="CO107" s="2706">
        <v>0</v>
      </c>
      <c r="CP107" s="2706">
        <v>0</v>
      </c>
      <c r="CQ107" s="2706">
        <v>0</v>
      </c>
      <c r="CR107" s="2706">
        <v>0</v>
      </c>
      <c r="CS107" s="2706">
        <v>0</v>
      </c>
      <c r="CT107" s="2706">
        <v>0</v>
      </c>
      <c r="CU107" s="2706">
        <v>0</v>
      </c>
      <c r="CV107" s="2706">
        <v>0</v>
      </c>
      <c r="CX107" s="1937" t="s">
        <v>1396</v>
      </c>
      <c r="CY107" s="1941" t="s">
        <v>157</v>
      </c>
      <c r="CZ107" s="1942" t="s">
        <v>159</v>
      </c>
      <c r="DA107" s="2924">
        <v>0.4</v>
      </c>
      <c r="DB107" s="2695"/>
      <c r="DC107" s="2695"/>
      <c r="DD107" s="2695"/>
      <c r="DE107" s="2695"/>
      <c r="DF107" s="2695"/>
      <c r="DG107" s="2695"/>
      <c r="DH107" s="2695"/>
      <c r="DI107" s="2695"/>
      <c r="DJ107" s="2695"/>
      <c r="DK107" s="2695"/>
      <c r="DL107" s="2695"/>
      <c r="DM107" s="2695"/>
    </row>
    <row r="108" spans="2:117">
      <c r="B108" s="1916" t="str">
        <f t="shared" si="116"/>
        <v>3.3.3</v>
      </c>
      <c r="C108" s="1938" t="str">
        <f t="shared" si="93"/>
        <v>電気配線の更新性</v>
      </c>
      <c r="D108" s="1926" t="e">
        <f t="shared" si="121"/>
        <v>#DIV/0!</v>
      </c>
      <c r="E108" s="1936" t="e">
        <f t="shared" si="121"/>
        <v>#DIV/0!</v>
      </c>
      <c r="G108" s="1936" t="e">
        <f t="shared" ref="G108:G145" si="122">K108*M108</f>
        <v>#DIV/0!</v>
      </c>
      <c r="H108" s="1936" t="e">
        <f t="shared" ref="H108:H145" si="123">L108*N108</f>
        <v>#DIV/0!</v>
      </c>
      <c r="I108" s="1936"/>
      <c r="J108" s="1936"/>
      <c r="K108" s="1936">
        <f>IF(スコア!O108=0,0,1)</f>
        <v>1</v>
      </c>
      <c r="L108" s="1936">
        <f>IF(スコア!R108=0,0,1)</f>
        <v>0</v>
      </c>
      <c r="M108" s="1936" t="e">
        <f t="shared" ref="M108:M145" si="124">SUMPRODUCT($S$7:$AB$7,S108:AB108)</f>
        <v>#DIV/0!</v>
      </c>
      <c r="N108" s="1936" t="e">
        <f t="shared" si="120"/>
        <v>#DIV/0!</v>
      </c>
      <c r="P108" s="1937" t="str">
        <f t="shared" si="94"/>
        <v>3.3.3</v>
      </c>
      <c r="Q108" s="1937" t="str">
        <f t="shared" si="95"/>
        <v xml:space="preserve"> Q2 3.3</v>
      </c>
      <c r="R108" s="1938" t="str">
        <f t="shared" si="96"/>
        <v>電気配線の更新性</v>
      </c>
      <c r="S108" s="2799">
        <f t="shared" si="74"/>
        <v>0.1</v>
      </c>
      <c r="T108" s="2799">
        <f t="shared" si="75"/>
        <v>0.1</v>
      </c>
      <c r="U108" s="2799">
        <f t="shared" si="76"/>
        <v>0.1</v>
      </c>
      <c r="V108" s="2799">
        <f t="shared" si="77"/>
        <v>0.1</v>
      </c>
      <c r="W108" s="2799">
        <f t="shared" si="78"/>
        <v>0.1</v>
      </c>
      <c r="X108" s="2799">
        <f t="shared" si="79"/>
        <v>0.1</v>
      </c>
      <c r="Y108" s="2799">
        <f t="shared" si="80"/>
        <v>0.1</v>
      </c>
      <c r="Z108" s="2801">
        <f t="shared" si="81"/>
        <v>0.1</v>
      </c>
      <c r="AA108" s="2799">
        <f t="shared" si="82"/>
        <v>0.1</v>
      </c>
      <c r="AB108" s="2799">
        <f t="shared" si="83"/>
        <v>0.1</v>
      </c>
      <c r="AC108" s="2800">
        <f t="shared" si="84"/>
        <v>0</v>
      </c>
      <c r="AD108" s="2799">
        <f t="shared" si="85"/>
        <v>0</v>
      </c>
      <c r="AE108" s="2799">
        <f t="shared" si="86"/>
        <v>0</v>
      </c>
      <c r="AG108" s="1937" t="s">
        <v>1397</v>
      </c>
      <c r="AH108" s="1941" t="s">
        <v>157</v>
      </c>
      <c r="AI108" s="1942" t="s">
        <v>160</v>
      </c>
      <c r="AJ108" s="1939">
        <v>0.1</v>
      </c>
      <c r="AK108" s="1939">
        <v>0.1</v>
      </c>
      <c r="AL108" s="1939">
        <v>0.1</v>
      </c>
      <c r="AM108" s="1939">
        <v>0.1</v>
      </c>
      <c r="AN108" s="1939">
        <v>0.1</v>
      </c>
      <c r="AO108" s="1939">
        <v>0.1</v>
      </c>
      <c r="AP108" s="1939">
        <v>0.1</v>
      </c>
      <c r="AQ108" s="1948">
        <v>0.1</v>
      </c>
      <c r="AR108" s="1939">
        <v>0.1</v>
      </c>
      <c r="AS108" s="1944">
        <v>0.1</v>
      </c>
      <c r="AT108" s="1945"/>
      <c r="AU108" s="1944"/>
      <c r="AV108" s="1944"/>
      <c r="AX108" s="1937" t="s">
        <v>1397</v>
      </c>
      <c r="AY108" s="1941" t="s">
        <v>157</v>
      </c>
      <c r="AZ108" s="1942" t="s">
        <v>160</v>
      </c>
      <c r="BA108" s="1944">
        <v>0.1</v>
      </c>
      <c r="BB108" s="1944">
        <v>0.1</v>
      </c>
      <c r="BC108" s="1944">
        <v>0.1</v>
      </c>
      <c r="BD108" s="1944">
        <v>0.1</v>
      </c>
      <c r="BE108" s="1944">
        <v>0.1</v>
      </c>
      <c r="BF108" s="1944">
        <v>0.1</v>
      </c>
      <c r="BG108" s="1944">
        <v>0.1</v>
      </c>
      <c r="BH108" s="1951">
        <v>0.1</v>
      </c>
      <c r="BI108" s="1944">
        <v>0.1</v>
      </c>
      <c r="BJ108" s="1944">
        <v>0.1</v>
      </c>
      <c r="BK108" s="1945"/>
      <c r="BL108" s="1944"/>
      <c r="BM108" s="1944"/>
      <c r="BO108" s="1937" t="s">
        <v>1397</v>
      </c>
      <c r="BP108" s="1941" t="s">
        <v>157</v>
      </c>
      <c r="BQ108" s="1942" t="s">
        <v>160</v>
      </c>
      <c r="BR108" s="1944">
        <v>0.1</v>
      </c>
      <c r="BS108" s="1944">
        <v>0.1</v>
      </c>
      <c r="BT108" s="1944">
        <v>0.1</v>
      </c>
      <c r="BU108" s="1944">
        <v>0.1</v>
      </c>
      <c r="BV108" s="1944">
        <v>0.1</v>
      </c>
      <c r="BW108" s="1944">
        <v>0.1</v>
      </c>
      <c r="BX108" s="1944">
        <v>0.1</v>
      </c>
      <c r="BY108" s="1951">
        <v>0.1</v>
      </c>
      <c r="BZ108" s="1944">
        <v>0.1</v>
      </c>
      <c r="CA108" s="1944">
        <v>0.1</v>
      </c>
      <c r="CB108" s="1945"/>
      <c r="CC108" s="1944"/>
      <c r="CD108" s="1944"/>
      <c r="CE108" s="2272"/>
      <c r="CG108" s="1937" t="s">
        <v>1397</v>
      </c>
      <c r="CH108" s="1941" t="s">
        <v>157</v>
      </c>
      <c r="CI108" s="1942" t="s">
        <v>160</v>
      </c>
      <c r="CJ108" s="2706">
        <v>0</v>
      </c>
      <c r="CK108" s="2706">
        <v>0</v>
      </c>
      <c r="CL108" s="2706">
        <v>0</v>
      </c>
      <c r="CM108" s="2706">
        <v>0</v>
      </c>
      <c r="CN108" s="2706">
        <v>0</v>
      </c>
      <c r="CO108" s="2706">
        <v>0</v>
      </c>
      <c r="CP108" s="2706">
        <v>0</v>
      </c>
      <c r="CQ108" s="2706">
        <v>0</v>
      </c>
      <c r="CR108" s="2706">
        <v>0</v>
      </c>
      <c r="CS108" s="2706">
        <v>0</v>
      </c>
      <c r="CT108" s="2706">
        <v>0</v>
      </c>
      <c r="CU108" s="2706">
        <v>0</v>
      </c>
      <c r="CV108" s="2706">
        <v>0</v>
      </c>
      <c r="CX108" s="1937" t="s">
        <v>1397</v>
      </c>
      <c r="CY108" s="1941" t="s">
        <v>157</v>
      </c>
      <c r="CZ108" s="1942" t="s">
        <v>160</v>
      </c>
      <c r="DA108" s="2695">
        <f t="shared" si="115"/>
        <v>0.1</v>
      </c>
      <c r="DB108" s="2695"/>
      <c r="DC108" s="2695"/>
      <c r="DD108" s="2695"/>
      <c r="DE108" s="2695"/>
      <c r="DF108" s="2695"/>
      <c r="DG108" s="2695"/>
      <c r="DH108" s="2695"/>
      <c r="DI108" s="2695"/>
      <c r="DJ108" s="2695"/>
      <c r="DK108" s="2695"/>
      <c r="DL108" s="2695"/>
      <c r="DM108" s="2695"/>
    </row>
    <row r="109" spans="2:117">
      <c r="B109" s="1916" t="str">
        <f t="shared" si="116"/>
        <v>3.3.4</v>
      </c>
      <c r="C109" s="1938" t="str">
        <f t="shared" si="93"/>
        <v>通信配線の更新性</v>
      </c>
      <c r="D109" s="1926" t="e">
        <f t="shared" si="121"/>
        <v>#DIV/0!</v>
      </c>
      <c r="E109" s="1936" t="e">
        <f t="shared" si="121"/>
        <v>#DIV/0!</v>
      </c>
      <c r="G109" s="1936" t="e">
        <f t="shared" si="122"/>
        <v>#DIV/0!</v>
      </c>
      <c r="H109" s="1936" t="e">
        <f t="shared" si="123"/>
        <v>#DIV/0!</v>
      </c>
      <c r="I109" s="1936"/>
      <c r="J109" s="1936"/>
      <c r="K109" s="1936">
        <f>IF(スコア!O109=0,0,1)</f>
        <v>1</v>
      </c>
      <c r="L109" s="1936">
        <f>IF(スコア!R109=0,0,1)</f>
        <v>0</v>
      </c>
      <c r="M109" s="1936" t="e">
        <f t="shared" si="124"/>
        <v>#DIV/0!</v>
      </c>
      <c r="N109" s="1936" t="e">
        <f t="shared" si="120"/>
        <v>#DIV/0!</v>
      </c>
      <c r="P109" s="1937" t="str">
        <f t="shared" si="94"/>
        <v>3.3.4</v>
      </c>
      <c r="Q109" s="1937" t="str">
        <f t="shared" si="95"/>
        <v xml:space="preserve"> Q2 3.3</v>
      </c>
      <c r="R109" s="1938" t="str">
        <f t="shared" si="96"/>
        <v>通信配線の更新性</v>
      </c>
      <c r="S109" s="2799">
        <f t="shared" si="74"/>
        <v>0.1</v>
      </c>
      <c r="T109" s="2799">
        <f t="shared" si="75"/>
        <v>0.1</v>
      </c>
      <c r="U109" s="2799">
        <f t="shared" si="76"/>
        <v>0.1</v>
      </c>
      <c r="V109" s="2799">
        <f t="shared" si="77"/>
        <v>0.1</v>
      </c>
      <c r="W109" s="2799">
        <f t="shared" si="78"/>
        <v>0.1</v>
      </c>
      <c r="X109" s="2799">
        <f t="shared" si="79"/>
        <v>0.1</v>
      </c>
      <c r="Y109" s="2799">
        <f t="shared" si="80"/>
        <v>0.1</v>
      </c>
      <c r="Z109" s="2801">
        <f t="shared" si="81"/>
        <v>0.1</v>
      </c>
      <c r="AA109" s="2799">
        <f t="shared" si="82"/>
        <v>0.1</v>
      </c>
      <c r="AB109" s="2799">
        <f t="shared" si="83"/>
        <v>0.1</v>
      </c>
      <c r="AC109" s="2800">
        <f t="shared" si="84"/>
        <v>0</v>
      </c>
      <c r="AD109" s="2799">
        <f t="shared" si="85"/>
        <v>0</v>
      </c>
      <c r="AE109" s="2799">
        <f t="shared" si="86"/>
        <v>0</v>
      </c>
      <c r="AG109" s="1937" t="s">
        <v>1398</v>
      </c>
      <c r="AH109" s="1941" t="s">
        <v>157</v>
      </c>
      <c r="AI109" s="1942" t="s">
        <v>161</v>
      </c>
      <c r="AJ109" s="1939">
        <v>0.1</v>
      </c>
      <c r="AK109" s="1939">
        <v>0.1</v>
      </c>
      <c r="AL109" s="1939">
        <v>0.1</v>
      </c>
      <c r="AM109" s="1939">
        <v>0.1</v>
      </c>
      <c r="AN109" s="1939">
        <v>0.1</v>
      </c>
      <c r="AO109" s="1939">
        <v>0.1</v>
      </c>
      <c r="AP109" s="1939">
        <v>0.1</v>
      </c>
      <c r="AQ109" s="1948">
        <v>0.1</v>
      </c>
      <c r="AR109" s="1939">
        <v>0.1</v>
      </c>
      <c r="AS109" s="1944">
        <v>0.1</v>
      </c>
      <c r="AT109" s="1945"/>
      <c r="AU109" s="1944"/>
      <c r="AV109" s="1944"/>
      <c r="AX109" s="1937" t="s">
        <v>1398</v>
      </c>
      <c r="AY109" s="1941" t="s">
        <v>157</v>
      </c>
      <c r="AZ109" s="1942" t="s">
        <v>161</v>
      </c>
      <c r="BA109" s="1944">
        <v>0.1</v>
      </c>
      <c r="BB109" s="1944">
        <v>0.1</v>
      </c>
      <c r="BC109" s="1944">
        <v>0.1</v>
      </c>
      <c r="BD109" s="1944">
        <v>0.1</v>
      </c>
      <c r="BE109" s="1944">
        <v>0.1</v>
      </c>
      <c r="BF109" s="1944">
        <v>0.1</v>
      </c>
      <c r="BG109" s="1944">
        <v>0.1</v>
      </c>
      <c r="BH109" s="1951">
        <v>0.1</v>
      </c>
      <c r="BI109" s="1944">
        <v>0.1</v>
      </c>
      <c r="BJ109" s="1944">
        <v>0.1</v>
      </c>
      <c r="BK109" s="1945"/>
      <c r="BL109" s="1944"/>
      <c r="BM109" s="1944"/>
      <c r="BO109" s="1937" t="s">
        <v>1398</v>
      </c>
      <c r="BP109" s="1941" t="s">
        <v>157</v>
      </c>
      <c r="BQ109" s="1942" t="s">
        <v>161</v>
      </c>
      <c r="BR109" s="1944">
        <v>0.1</v>
      </c>
      <c r="BS109" s="1944">
        <v>0.1</v>
      </c>
      <c r="BT109" s="1944">
        <v>0.1</v>
      </c>
      <c r="BU109" s="1944">
        <v>0.1</v>
      </c>
      <c r="BV109" s="1944">
        <v>0.1</v>
      </c>
      <c r="BW109" s="1944">
        <v>0.1</v>
      </c>
      <c r="BX109" s="1944">
        <v>0.1</v>
      </c>
      <c r="BY109" s="1951">
        <v>0.1</v>
      </c>
      <c r="BZ109" s="1944">
        <v>0.1</v>
      </c>
      <c r="CA109" s="1944">
        <v>0.1</v>
      </c>
      <c r="CB109" s="1945"/>
      <c r="CC109" s="1944"/>
      <c r="CD109" s="1944"/>
      <c r="CE109" s="2272"/>
      <c r="CG109" s="1937" t="s">
        <v>1398</v>
      </c>
      <c r="CH109" s="1941" t="s">
        <v>157</v>
      </c>
      <c r="CI109" s="1942" t="s">
        <v>161</v>
      </c>
      <c r="CJ109" s="2706">
        <v>0</v>
      </c>
      <c r="CK109" s="2706">
        <v>0</v>
      </c>
      <c r="CL109" s="2706">
        <v>0</v>
      </c>
      <c r="CM109" s="2706">
        <v>0</v>
      </c>
      <c r="CN109" s="2706">
        <v>0</v>
      </c>
      <c r="CO109" s="2706">
        <v>0</v>
      </c>
      <c r="CP109" s="2706">
        <v>0</v>
      </c>
      <c r="CQ109" s="2706">
        <v>0</v>
      </c>
      <c r="CR109" s="2706">
        <v>0</v>
      </c>
      <c r="CS109" s="2706">
        <v>0</v>
      </c>
      <c r="CT109" s="2706">
        <v>0</v>
      </c>
      <c r="CU109" s="2706">
        <v>0</v>
      </c>
      <c r="CV109" s="2706">
        <v>0</v>
      </c>
      <c r="CX109" s="1937" t="s">
        <v>1398</v>
      </c>
      <c r="CY109" s="1941" t="s">
        <v>157</v>
      </c>
      <c r="CZ109" s="1942" t="s">
        <v>161</v>
      </c>
      <c r="DA109" s="2695">
        <f t="shared" si="115"/>
        <v>0.1</v>
      </c>
      <c r="DB109" s="2695"/>
      <c r="DC109" s="2695"/>
      <c r="DD109" s="2695"/>
      <c r="DE109" s="2695"/>
      <c r="DF109" s="2695"/>
      <c r="DG109" s="2695"/>
      <c r="DH109" s="2695"/>
      <c r="DI109" s="2695"/>
      <c r="DJ109" s="2695"/>
      <c r="DK109" s="2695"/>
      <c r="DL109" s="2695"/>
      <c r="DM109" s="2695"/>
    </row>
    <row r="110" spans="2:117">
      <c r="B110" s="1916" t="str">
        <f t="shared" ref="B110:B147" si="125">P110</f>
        <v>3.3.5</v>
      </c>
      <c r="C110" s="1938" t="str">
        <f t="shared" si="93"/>
        <v>設備機器の更新性</v>
      </c>
      <c r="D110" s="1926" t="e">
        <f>IF(I$105&gt;0,G110/I$105,0)</f>
        <v>#DIV/0!</v>
      </c>
      <c r="E110" s="1936" t="e">
        <f t="shared" si="121"/>
        <v>#DIV/0!</v>
      </c>
      <c r="G110" s="1936" t="e">
        <f t="shared" si="122"/>
        <v>#DIV/0!</v>
      </c>
      <c r="H110" s="1936" t="e">
        <f t="shared" si="123"/>
        <v>#DIV/0!</v>
      </c>
      <c r="I110" s="1936"/>
      <c r="J110" s="1936"/>
      <c r="K110" s="1936">
        <f>IF(スコア!O110=0,0,1)</f>
        <v>1</v>
      </c>
      <c r="L110" s="1936">
        <f>IF(スコア!R110=0,0,1)</f>
        <v>0</v>
      </c>
      <c r="M110" s="1936" t="e">
        <f t="shared" si="124"/>
        <v>#DIV/0!</v>
      </c>
      <c r="N110" s="1936" t="e">
        <f t="shared" si="120"/>
        <v>#DIV/0!</v>
      </c>
      <c r="P110" s="1937" t="str">
        <f t="shared" si="94"/>
        <v>3.3.5</v>
      </c>
      <c r="Q110" s="1937" t="str">
        <f t="shared" si="95"/>
        <v xml:space="preserve"> Q2 3.3</v>
      </c>
      <c r="R110" s="1938" t="str">
        <f t="shared" si="96"/>
        <v>設備機器の更新性</v>
      </c>
      <c r="S110" s="2799">
        <f t="shared" si="74"/>
        <v>0.2</v>
      </c>
      <c r="T110" s="2799">
        <f t="shared" si="75"/>
        <v>0.2</v>
      </c>
      <c r="U110" s="2799">
        <f t="shared" si="76"/>
        <v>0.2</v>
      </c>
      <c r="V110" s="2799">
        <f t="shared" si="77"/>
        <v>0.2</v>
      </c>
      <c r="W110" s="2799">
        <f t="shared" si="78"/>
        <v>0.2</v>
      </c>
      <c r="X110" s="2799">
        <f t="shared" si="79"/>
        <v>0.2</v>
      </c>
      <c r="Y110" s="2799">
        <f t="shared" si="80"/>
        <v>0.2</v>
      </c>
      <c r="Z110" s="2801">
        <f t="shared" si="81"/>
        <v>0.2</v>
      </c>
      <c r="AA110" s="2799">
        <f t="shared" si="82"/>
        <v>0.2</v>
      </c>
      <c r="AB110" s="2799">
        <f t="shared" si="83"/>
        <v>0.2</v>
      </c>
      <c r="AC110" s="2800">
        <f t="shared" si="84"/>
        <v>0</v>
      </c>
      <c r="AD110" s="2799">
        <f t="shared" si="85"/>
        <v>0</v>
      </c>
      <c r="AE110" s="2799">
        <f t="shared" si="86"/>
        <v>0</v>
      </c>
      <c r="AG110" s="1937" t="s">
        <v>1399</v>
      </c>
      <c r="AH110" s="1941" t="s">
        <v>157</v>
      </c>
      <c r="AI110" s="1942" t="s">
        <v>162</v>
      </c>
      <c r="AJ110" s="1939">
        <v>0.2</v>
      </c>
      <c r="AK110" s="1939">
        <v>0.2</v>
      </c>
      <c r="AL110" s="1939">
        <v>0.2</v>
      </c>
      <c r="AM110" s="1939">
        <v>0.2</v>
      </c>
      <c r="AN110" s="1939">
        <v>0.2</v>
      </c>
      <c r="AO110" s="1939">
        <v>0.2</v>
      </c>
      <c r="AP110" s="1939">
        <v>0.2</v>
      </c>
      <c r="AQ110" s="1948">
        <v>0.2</v>
      </c>
      <c r="AR110" s="1939">
        <v>0.2</v>
      </c>
      <c r="AS110" s="1944">
        <v>0.2</v>
      </c>
      <c r="AT110" s="1945"/>
      <c r="AU110" s="1944"/>
      <c r="AV110" s="1944"/>
      <c r="AX110" s="1937" t="s">
        <v>1399</v>
      </c>
      <c r="AY110" s="1941" t="s">
        <v>157</v>
      </c>
      <c r="AZ110" s="1942" t="s">
        <v>162</v>
      </c>
      <c r="BA110" s="1944">
        <v>0.2</v>
      </c>
      <c r="BB110" s="1944">
        <v>0.2</v>
      </c>
      <c r="BC110" s="1944">
        <v>0.2</v>
      </c>
      <c r="BD110" s="1944">
        <v>0.2</v>
      </c>
      <c r="BE110" s="1944">
        <v>0.2</v>
      </c>
      <c r="BF110" s="1944">
        <v>0.2</v>
      </c>
      <c r="BG110" s="1944">
        <v>0.2</v>
      </c>
      <c r="BH110" s="1951">
        <v>0.2</v>
      </c>
      <c r="BI110" s="1944">
        <v>0.2</v>
      </c>
      <c r="BJ110" s="1944">
        <v>0.2</v>
      </c>
      <c r="BK110" s="1945"/>
      <c r="BL110" s="1944"/>
      <c r="BM110" s="1944"/>
      <c r="BO110" s="1937" t="s">
        <v>1399</v>
      </c>
      <c r="BP110" s="1941" t="s">
        <v>157</v>
      </c>
      <c r="BQ110" s="1942" t="s">
        <v>162</v>
      </c>
      <c r="BR110" s="1944">
        <v>0.2</v>
      </c>
      <c r="BS110" s="1944">
        <v>0.2</v>
      </c>
      <c r="BT110" s="1944">
        <v>0.2</v>
      </c>
      <c r="BU110" s="1944">
        <v>0.2</v>
      </c>
      <c r="BV110" s="1944">
        <v>0.2</v>
      </c>
      <c r="BW110" s="1944">
        <v>0.2</v>
      </c>
      <c r="BX110" s="1944">
        <v>0.2</v>
      </c>
      <c r="BY110" s="1951">
        <v>0.2</v>
      </c>
      <c r="BZ110" s="1944">
        <v>0.2</v>
      </c>
      <c r="CA110" s="1944">
        <v>0.2</v>
      </c>
      <c r="CB110" s="1945"/>
      <c r="CC110" s="1944"/>
      <c r="CD110" s="1944"/>
      <c r="CE110" s="2272"/>
      <c r="CG110" s="1937" t="s">
        <v>1399</v>
      </c>
      <c r="CH110" s="1941" t="s">
        <v>157</v>
      </c>
      <c r="CI110" s="1942" t="s">
        <v>162</v>
      </c>
      <c r="CJ110" s="2706">
        <v>0</v>
      </c>
      <c r="CK110" s="2706">
        <v>0</v>
      </c>
      <c r="CL110" s="2706">
        <v>0</v>
      </c>
      <c r="CM110" s="2706">
        <v>0</v>
      </c>
      <c r="CN110" s="2706">
        <v>0</v>
      </c>
      <c r="CO110" s="2706">
        <v>0</v>
      </c>
      <c r="CP110" s="2706">
        <v>0</v>
      </c>
      <c r="CQ110" s="2706">
        <v>0</v>
      </c>
      <c r="CR110" s="2706">
        <v>0</v>
      </c>
      <c r="CS110" s="2706">
        <v>0</v>
      </c>
      <c r="CT110" s="2706">
        <v>0</v>
      </c>
      <c r="CU110" s="2706">
        <v>0</v>
      </c>
      <c r="CV110" s="2706">
        <v>0</v>
      </c>
      <c r="CX110" s="1937" t="s">
        <v>1399</v>
      </c>
      <c r="CY110" s="1941" t="s">
        <v>157</v>
      </c>
      <c r="CZ110" s="1942" t="s">
        <v>162</v>
      </c>
      <c r="DA110" s="2695">
        <f t="shared" si="115"/>
        <v>0.2</v>
      </c>
      <c r="DB110" s="2695"/>
      <c r="DC110" s="2695"/>
      <c r="DD110" s="2695"/>
      <c r="DE110" s="2695"/>
      <c r="DF110" s="2695"/>
      <c r="DG110" s="2695"/>
      <c r="DH110" s="2695"/>
      <c r="DI110" s="2695"/>
      <c r="DJ110" s="2695"/>
      <c r="DK110" s="2695"/>
      <c r="DL110" s="2695"/>
      <c r="DM110" s="2695"/>
    </row>
    <row r="111" spans="2:117">
      <c r="B111" s="1916" t="str">
        <f t="shared" si="125"/>
        <v>3.3.6</v>
      </c>
      <c r="C111" s="1938" t="str">
        <f t="shared" si="93"/>
        <v>バックアップスペースの確保</v>
      </c>
      <c r="D111" s="1926" t="e">
        <f t="shared" si="121"/>
        <v>#DIV/0!</v>
      </c>
      <c r="E111" s="1936" t="e">
        <f t="shared" si="121"/>
        <v>#DIV/0!</v>
      </c>
      <c r="G111" s="1936" t="e">
        <f t="shared" si="122"/>
        <v>#DIV/0!</v>
      </c>
      <c r="H111" s="1936" t="e">
        <f t="shared" si="123"/>
        <v>#DIV/0!</v>
      </c>
      <c r="I111" s="1936"/>
      <c r="J111" s="1936"/>
      <c r="K111" s="1936">
        <f>IF(スコア!O111=0,0,1)</f>
        <v>1</v>
      </c>
      <c r="L111" s="1936">
        <f>IF(スコア!R111=0,0,1)</f>
        <v>0</v>
      </c>
      <c r="M111" s="1936" t="e">
        <f t="shared" si="124"/>
        <v>#DIV/0!</v>
      </c>
      <c r="N111" s="1936" t="e">
        <f t="shared" si="120"/>
        <v>#DIV/0!</v>
      </c>
      <c r="P111" s="1937" t="str">
        <f t="shared" si="94"/>
        <v>3.3.6</v>
      </c>
      <c r="Q111" s="1937" t="str">
        <f t="shared" si="95"/>
        <v xml:space="preserve"> Q2 3.3</v>
      </c>
      <c r="R111" s="1938" t="str">
        <f t="shared" si="96"/>
        <v>バックアップスペースの確保</v>
      </c>
      <c r="S111" s="2799">
        <f t="shared" si="74"/>
        <v>0.2</v>
      </c>
      <c r="T111" s="2799">
        <f t="shared" si="75"/>
        <v>0.2</v>
      </c>
      <c r="U111" s="2799">
        <f t="shared" si="76"/>
        <v>0.2</v>
      </c>
      <c r="V111" s="2799">
        <f t="shared" si="77"/>
        <v>0.2</v>
      </c>
      <c r="W111" s="2799">
        <f t="shared" si="78"/>
        <v>0.2</v>
      </c>
      <c r="X111" s="2799">
        <f t="shared" si="79"/>
        <v>0.2</v>
      </c>
      <c r="Y111" s="2799">
        <f t="shared" si="80"/>
        <v>0.2</v>
      </c>
      <c r="Z111" s="2801">
        <f t="shared" si="81"/>
        <v>0.2</v>
      </c>
      <c r="AA111" s="2799">
        <f t="shared" si="82"/>
        <v>0.2</v>
      </c>
      <c r="AB111" s="2799">
        <f t="shared" si="83"/>
        <v>0.2</v>
      </c>
      <c r="AC111" s="2800">
        <f t="shared" si="84"/>
        <v>0</v>
      </c>
      <c r="AD111" s="2799">
        <f t="shared" si="85"/>
        <v>0</v>
      </c>
      <c r="AE111" s="2799">
        <f t="shared" si="86"/>
        <v>0</v>
      </c>
      <c r="AG111" s="1937" t="s">
        <v>1400</v>
      </c>
      <c r="AH111" s="1941" t="s">
        <v>157</v>
      </c>
      <c r="AI111" s="1942" t="s">
        <v>1255</v>
      </c>
      <c r="AJ111" s="1939">
        <v>0.2</v>
      </c>
      <c r="AK111" s="1939">
        <v>0.2</v>
      </c>
      <c r="AL111" s="1939">
        <v>0.2</v>
      </c>
      <c r="AM111" s="1939">
        <v>0.2</v>
      </c>
      <c r="AN111" s="1939">
        <v>0.2</v>
      </c>
      <c r="AO111" s="1939">
        <v>0.2</v>
      </c>
      <c r="AP111" s="1939">
        <v>0.2</v>
      </c>
      <c r="AQ111" s="1948">
        <v>0.2</v>
      </c>
      <c r="AR111" s="1939">
        <v>0.2</v>
      </c>
      <c r="AS111" s="1944">
        <v>0.2</v>
      </c>
      <c r="AT111" s="1945"/>
      <c r="AU111" s="1944"/>
      <c r="AV111" s="1944"/>
      <c r="AX111" s="1937" t="s">
        <v>1400</v>
      </c>
      <c r="AY111" s="1941" t="s">
        <v>157</v>
      </c>
      <c r="AZ111" s="1942" t="s">
        <v>2053</v>
      </c>
      <c r="BA111" s="1944">
        <v>0.2</v>
      </c>
      <c r="BB111" s="1944">
        <v>0.2</v>
      </c>
      <c r="BC111" s="1944">
        <v>0.2</v>
      </c>
      <c r="BD111" s="1944">
        <v>0.2</v>
      </c>
      <c r="BE111" s="1944">
        <v>0.2</v>
      </c>
      <c r="BF111" s="1944">
        <v>0.2</v>
      </c>
      <c r="BG111" s="1944">
        <v>0.2</v>
      </c>
      <c r="BH111" s="1951">
        <v>0.2</v>
      </c>
      <c r="BI111" s="1944">
        <v>0.2</v>
      </c>
      <c r="BJ111" s="1944">
        <v>0.2</v>
      </c>
      <c r="BK111" s="1945"/>
      <c r="BL111" s="1944"/>
      <c r="BM111" s="1944"/>
      <c r="BO111" s="1937" t="s">
        <v>1400</v>
      </c>
      <c r="BP111" s="1941" t="s">
        <v>157</v>
      </c>
      <c r="BQ111" s="1942" t="s">
        <v>1255</v>
      </c>
      <c r="BR111" s="1944">
        <v>0.2</v>
      </c>
      <c r="BS111" s="1944">
        <v>0.2</v>
      </c>
      <c r="BT111" s="1944">
        <v>0.2</v>
      </c>
      <c r="BU111" s="1944">
        <v>0.2</v>
      </c>
      <c r="BV111" s="1944">
        <v>0.2</v>
      </c>
      <c r="BW111" s="1944">
        <v>0.2</v>
      </c>
      <c r="BX111" s="1944">
        <v>0.2</v>
      </c>
      <c r="BY111" s="1951">
        <v>0.2</v>
      </c>
      <c r="BZ111" s="1944">
        <v>0.2</v>
      </c>
      <c r="CA111" s="1944">
        <v>0.2</v>
      </c>
      <c r="CB111" s="1945"/>
      <c r="CC111" s="1944"/>
      <c r="CD111" s="1944"/>
      <c r="CE111" s="2272"/>
      <c r="CG111" s="1937" t="s">
        <v>1400</v>
      </c>
      <c r="CH111" s="1941" t="s">
        <v>157</v>
      </c>
      <c r="CI111" s="1942" t="s">
        <v>1255</v>
      </c>
      <c r="CJ111" s="2706">
        <v>0</v>
      </c>
      <c r="CK111" s="2706">
        <v>0</v>
      </c>
      <c r="CL111" s="2706">
        <v>0</v>
      </c>
      <c r="CM111" s="2706">
        <v>0</v>
      </c>
      <c r="CN111" s="2706">
        <v>0</v>
      </c>
      <c r="CO111" s="2706">
        <v>0</v>
      </c>
      <c r="CP111" s="2706">
        <v>0</v>
      </c>
      <c r="CQ111" s="2706">
        <v>0</v>
      </c>
      <c r="CR111" s="2706">
        <v>0</v>
      </c>
      <c r="CS111" s="2706">
        <v>0</v>
      </c>
      <c r="CT111" s="2706">
        <v>0</v>
      </c>
      <c r="CU111" s="2706">
        <v>0</v>
      </c>
      <c r="CV111" s="2706">
        <v>0</v>
      </c>
      <c r="CX111" s="1937" t="s">
        <v>1400</v>
      </c>
      <c r="CY111" s="1941" t="s">
        <v>157</v>
      </c>
      <c r="CZ111" s="1942" t="s">
        <v>1255</v>
      </c>
      <c r="DA111" s="2695">
        <f t="shared" si="115"/>
        <v>0.2</v>
      </c>
      <c r="DB111" s="2695"/>
      <c r="DC111" s="2695"/>
      <c r="DD111" s="2695"/>
      <c r="DE111" s="2695"/>
      <c r="DF111" s="2695"/>
      <c r="DG111" s="2695"/>
      <c r="DH111" s="2695"/>
      <c r="DI111" s="2695"/>
      <c r="DJ111" s="2695"/>
      <c r="DK111" s="2695"/>
      <c r="DL111" s="2695"/>
      <c r="DM111" s="2695"/>
    </row>
    <row r="112" spans="2:117">
      <c r="B112" s="1916" t="str">
        <f t="shared" si="125"/>
        <v>Q3</v>
      </c>
      <c r="C112" s="1919" t="str">
        <f t="shared" si="93"/>
        <v>室外環境（敷地内）</v>
      </c>
      <c r="D112" s="1917" t="e">
        <f>IF(I$8=0,0,G112/I$8)</f>
        <v>#DIV/0!</v>
      </c>
      <c r="E112" s="1918" t="e">
        <f>IF(J$8=0,0,H112/J$8)</f>
        <v>#DIV/0!</v>
      </c>
      <c r="G112" s="1918" t="e">
        <f t="shared" si="122"/>
        <v>#DIV/0!</v>
      </c>
      <c r="H112" s="1918" t="e">
        <f t="shared" si="123"/>
        <v>#DIV/0!</v>
      </c>
      <c r="I112" s="1918" t="e">
        <f>G113+G116+G117+G114</f>
        <v>#DIV/0!</v>
      </c>
      <c r="J112" s="1918" t="e">
        <f>H113+H116+H117+H114</f>
        <v>#DIV/0!</v>
      </c>
      <c r="K112" s="1918" t="e">
        <f>IF(スコア!T112=0,0,1)</f>
        <v>#DIV/0!</v>
      </c>
      <c r="L112" s="1918">
        <f>IF(スコア!R112=0,0,1)</f>
        <v>0</v>
      </c>
      <c r="M112" s="1918" t="e">
        <f t="shared" si="124"/>
        <v>#DIV/0!</v>
      </c>
      <c r="N112" s="1918" t="e">
        <f t="shared" si="120"/>
        <v>#DIV/0!</v>
      </c>
      <c r="P112" s="1916" t="str">
        <f t="shared" si="94"/>
        <v>Q3</v>
      </c>
      <c r="Q112" s="1916" t="str">
        <f t="shared" si="95"/>
        <v xml:space="preserve"> Q</v>
      </c>
      <c r="R112" s="1919" t="str">
        <f t="shared" si="96"/>
        <v>室外環境（敷地内）</v>
      </c>
      <c r="S112" s="2793">
        <f t="shared" si="74"/>
        <v>0.3</v>
      </c>
      <c r="T112" s="2793">
        <f t="shared" si="75"/>
        <v>0.3</v>
      </c>
      <c r="U112" s="2793">
        <f t="shared" si="76"/>
        <v>0.3</v>
      </c>
      <c r="V112" s="2793">
        <f t="shared" si="77"/>
        <v>0.3</v>
      </c>
      <c r="W112" s="2793">
        <f t="shared" si="78"/>
        <v>0.3</v>
      </c>
      <c r="X112" s="2793">
        <f t="shared" si="79"/>
        <v>0.3</v>
      </c>
      <c r="Y112" s="2793">
        <f t="shared" si="80"/>
        <v>0.3</v>
      </c>
      <c r="Z112" s="2793">
        <f t="shared" si="81"/>
        <v>0.3</v>
      </c>
      <c r="AA112" s="2793">
        <f t="shared" si="82"/>
        <v>0.4</v>
      </c>
      <c r="AB112" s="2793">
        <f t="shared" si="83"/>
        <v>0.3</v>
      </c>
      <c r="AC112" s="2795">
        <f t="shared" si="84"/>
        <v>0</v>
      </c>
      <c r="AD112" s="2793">
        <f t="shared" si="85"/>
        <v>0</v>
      </c>
      <c r="AE112" s="2793">
        <f t="shared" si="86"/>
        <v>0</v>
      </c>
      <c r="AG112" s="1916" t="s">
        <v>1401</v>
      </c>
      <c r="AH112" s="1921" t="s">
        <v>952</v>
      </c>
      <c r="AI112" s="1919" t="s">
        <v>1402</v>
      </c>
      <c r="AJ112" s="1920">
        <v>0.3</v>
      </c>
      <c r="AK112" s="1920">
        <v>0.3</v>
      </c>
      <c r="AL112" s="1920">
        <v>0.3</v>
      </c>
      <c r="AM112" s="1920">
        <v>0.3</v>
      </c>
      <c r="AN112" s="1920">
        <v>0.3</v>
      </c>
      <c r="AO112" s="1920">
        <v>0.3</v>
      </c>
      <c r="AP112" s="1920">
        <v>0.3</v>
      </c>
      <c r="AQ112" s="1920">
        <v>0.3</v>
      </c>
      <c r="AR112" s="1920">
        <v>0.4</v>
      </c>
      <c r="AS112" s="1922">
        <v>0.3</v>
      </c>
      <c r="AT112" s="1923">
        <v>0</v>
      </c>
      <c r="AU112" s="1922">
        <v>0</v>
      </c>
      <c r="AV112" s="1922">
        <v>0</v>
      </c>
      <c r="AX112" s="1916" t="s">
        <v>1401</v>
      </c>
      <c r="AY112" s="1921" t="s">
        <v>952</v>
      </c>
      <c r="AZ112" s="1919" t="s">
        <v>1402</v>
      </c>
      <c r="BA112" s="1922">
        <v>0.3</v>
      </c>
      <c r="BB112" s="1922">
        <v>0.3</v>
      </c>
      <c r="BC112" s="1922">
        <v>0.3</v>
      </c>
      <c r="BD112" s="1922">
        <v>0.3</v>
      </c>
      <c r="BE112" s="1922">
        <v>0.3</v>
      </c>
      <c r="BF112" s="1922">
        <v>0.3</v>
      </c>
      <c r="BG112" s="1922">
        <v>0.3</v>
      </c>
      <c r="BH112" s="1922">
        <v>0.3</v>
      </c>
      <c r="BI112" s="1922">
        <v>0.4</v>
      </c>
      <c r="BJ112" s="1922">
        <v>0.3</v>
      </c>
      <c r="BK112" s="1923"/>
      <c r="BL112" s="1922"/>
      <c r="BM112" s="1922"/>
      <c r="BO112" s="1916" t="s">
        <v>1401</v>
      </c>
      <c r="BP112" s="1921" t="s">
        <v>952</v>
      </c>
      <c r="BQ112" s="1919" t="s">
        <v>1402</v>
      </c>
      <c r="BR112" s="1922">
        <v>0.3</v>
      </c>
      <c r="BS112" s="1922">
        <v>0.3</v>
      </c>
      <c r="BT112" s="1922">
        <v>0.3</v>
      </c>
      <c r="BU112" s="1922">
        <v>0.3</v>
      </c>
      <c r="BV112" s="1922">
        <v>0.3</v>
      </c>
      <c r="BW112" s="1922">
        <v>0.3</v>
      </c>
      <c r="BX112" s="1922">
        <v>0.3</v>
      </c>
      <c r="BY112" s="1922">
        <v>0.3</v>
      </c>
      <c r="BZ112" s="1922">
        <v>0.4</v>
      </c>
      <c r="CA112" s="1922">
        <v>0.3</v>
      </c>
      <c r="CB112" s="1923"/>
      <c r="CC112" s="1922"/>
      <c r="CD112" s="1922"/>
      <c r="CE112" s="2270"/>
      <c r="CG112" s="1916" t="s">
        <v>754</v>
      </c>
      <c r="CH112" s="1921" t="s">
        <v>952</v>
      </c>
      <c r="CI112" s="1919" t="s">
        <v>1402</v>
      </c>
      <c r="CJ112" s="2691">
        <v>0.35</v>
      </c>
      <c r="CK112" s="2691">
        <v>0.35</v>
      </c>
      <c r="CL112" s="2691">
        <v>0.35</v>
      </c>
      <c r="CM112" s="2691">
        <v>0.35</v>
      </c>
      <c r="CN112" s="2691">
        <v>0.35</v>
      </c>
      <c r="CO112" s="2691">
        <v>0.35</v>
      </c>
      <c r="CP112" s="2691">
        <v>0.35</v>
      </c>
      <c r="CQ112" s="2691">
        <v>0.35</v>
      </c>
      <c r="CR112" s="2691">
        <v>0.5</v>
      </c>
      <c r="CS112" s="2691">
        <v>0.35</v>
      </c>
      <c r="CT112" s="2692">
        <f t="shared" si="111"/>
        <v>0</v>
      </c>
      <c r="CU112" s="2691">
        <f t="shared" si="112"/>
        <v>0</v>
      </c>
      <c r="CV112" s="2691">
        <f t="shared" si="113"/>
        <v>0</v>
      </c>
      <c r="CX112" s="1916" t="s">
        <v>754</v>
      </c>
      <c r="CY112" s="1921" t="s">
        <v>952</v>
      </c>
      <c r="CZ112" s="1919" t="s">
        <v>1402</v>
      </c>
      <c r="DA112" s="2923">
        <v>0.1</v>
      </c>
      <c r="DB112" s="2691"/>
      <c r="DC112" s="2691"/>
      <c r="DD112" s="2691"/>
      <c r="DE112" s="2691"/>
      <c r="DF112" s="2691"/>
      <c r="DG112" s="2691"/>
      <c r="DH112" s="2691"/>
      <c r="DI112" s="2691"/>
      <c r="DJ112" s="2691"/>
      <c r="DK112" s="2692"/>
      <c r="DL112" s="2691"/>
      <c r="DM112" s="2691"/>
    </row>
    <row r="113" spans="1:117">
      <c r="B113" s="1916">
        <f t="shared" si="125"/>
        <v>1</v>
      </c>
      <c r="C113" s="1928" t="str">
        <f t="shared" si="93"/>
        <v>生物資源の保全と創出</v>
      </c>
      <c r="D113" s="1924" t="e">
        <f>IF(I$112=0,0,G113/I$112)</f>
        <v>#DIV/0!</v>
      </c>
      <c r="E113" s="1925" t="e">
        <f t="shared" ref="D113:E117" si="126">IF(J$112=0,0,H113/J$112)</f>
        <v>#DIV/0!</v>
      </c>
      <c r="G113" s="1925" t="e">
        <f t="shared" si="122"/>
        <v>#DIV/0!</v>
      </c>
      <c r="H113" s="1925" t="e">
        <f t="shared" si="123"/>
        <v>#DIV/0!</v>
      </c>
      <c r="I113" s="1925"/>
      <c r="J113" s="1925"/>
      <c r="K113" s="1925">
        <f>IF(スコア!O113=0,0,1)</f>
        <v>1</v>
      </c>
      <c r="L113" s="1925">
        <f>IF(スコア!R113=0,0,1)</f>
        <v>0</v>
      </c>
      <c r="M113" s="1925" t="e">
        <f t="shared" si="124"/>
        <v>#DIV/0!</v>
      </c>
      <c r="N113" s="1925" t="e">
        <f t="shared" si="120"/>
        <v>#DIV/0!</v>
      </c>
      <c r="P113" s="1927">
        <f t="shared" si="94"/>
        <v>1</v>
      </c>
      <c r="Q113" s="1927" t="str">
        <f t="shared" si="95"/>
        <v xml:space="preserve"> Q3</v>
      </c>
      <c r="R113" s="1928" t="str">
        <f t="shared" si="96"/>
        <v>生物資源の保全と創出</v>
      </c>
      <c r="S113" s="2796">
        <f t="shared" si="74"/>
        <v>0.3</v>
      </c>
      <c r="T113" s="2796">
        <f t="shared" si="75"/>
        <v>0.3</v>
      </c>
      <c r="U113" s="2796">
        <f t="shared" si="76"/>
        <v>0.3</v>
      </c>
      <c r="V113" s="2796">
        <f t="shared" si="77"/>
        <v>0.3</v>
      </c>
      <c r="W113" s="2796">
        <f t="shared" si="78"/>
        <v>0.3</v>
      </c>
      <c r="X113" s="2796">
        <f t="shared" si="79"/>
        <v>0.3</v>
      </c>
      <c r="Y113" s="2796">
        <f t="shared" si="80"/>
        <v>0.3</v>
      </c>
      <c r="Z113" s="2810">
        <f t="shared" si="81"/>
        <v>0.3</v>
      </c>
      <c r="AA113" s="2796">
        <f t="shared" si="82"/>
        <v>0.3</v>
      </c>
      <c r="AB113" s="2796">
        <f t="shared" si="83"/>
        <v>0.3</v>
      </c>
      <c r="AC113" s="2798">
        <f t="shared" si="84"/>
        <v>0</v>
      </c>
      <c r="AD113" s="2796">
        <f t="shared" si="85"/>
        <v>0</v>
      </c>
      <c r="AE113" s="2796">
        <f t="shared" si="86"/>
        <v>0</v>
      </c>
      <c r="AG113" s="1927">
        <v>1</v>
      </c>
      <c r="AH113" s="1931" t="s">
        <v>163</v>
      </c>
      <c r="AI113" s="1953" t="s">
        <v>164</v>
      </c>
      <c r="AJ113" s="1929">
        <v>0.3</v>
      </c>
      <c r="AK113" s="1929">
        <v>0.3</v>
      </c>
      <c r="AL113" s="1929">
        <v>0.3</v>
      </c>
      <c r="AM113" s="1929">
        <v>0.3</v>
      </c>
      <c r="AN113" s="1929">
        <v>0.3</v>
      </c>
      <c r="AO113" s="1929">
        <v>0.3</v>
      </c>
      <c r="AP113" s="1929">
        <v>0.3</v>
      </c>
      <c r="AQ113" s="1984">
        <v>0.3</v>
      </c>
      <c r="AR113" s="1929">
        <v>0.3</v>
      </c>
      <c r="AS113" s="1932">
        <v>0.3</v>
      </c>
      <c r="AT113" s="1933">
        <v>0</v>
      </c>
      <c r="AU113" s="1932">
        <v>0</v>
      </c>
      <c r="AV113" s="1932">
        <v>0</v>
      </c>
      <c r="AX113" s="1927">
        <v>1</v>
      </c>
      <c r="AY113" s="1931" t="s">
        <v>163</v>
      </c>
      <c r="AZ113" s="1953" t="s">
        <v>164</v>
      </c>
      <c r="BA113" s="1932">
        <v>0.3</v>
      </c>
      <c r="BB113" s="1932">
        <v>0.3</v>
      </c>
      <c r="BC113" s="1932">
        <v>0.3</v>
      </c>
      <c r="BD113" s="1932">
        <v>0.3</v>
      </c>
      <c r="BE113" s="1932">
        <v>0.3</v>
      </c>
      <c r="BF113" s="1932">
        <v>0.3</v>
      </c>
      <c r="BG113" s="1932">
        <v>0.3</v>
      </c>
      <c r="BH113" s="1985">
        <v>0.3</v>
      </c>
      <c r="BI113" s="1932">
        <v>0.3</v>
      </c>
      <c r="BJ113" s="1932">
        <v>0.3</v>
      </c>
      <c r="BK113" s="1933"/>
      <c r="BL113" s="1932"/>
      <c r="BM113" s="1932"/>
      <c r="BO113" s="1927">
        <v>1</v>
      </c>
      <c r="BP113" s="1931" t="s">
        <v>163</v>
      </c>
      <c r="BQ113" s="1953" t="s">
        <v>164</v>
      </c>
      <c r="BR113" s="1932">
        <v>0.3</v>
      </c>
      <c r="BS113" s="1932">
        <v>0.3</v>
      </c>
      <c r="BT113" s="1932">
        <v>0.3</v>
      </c>
      <c r="BU113" s="1932">
        <v>0.3</v>
      </c>
      <c r="BV113" s="1932">
        <v>0.3</v>
      </c>
      <c r="BW113" s="1932">
        <v>0.3</v>
      </c>
      <c r="BX113" s="1932">
        <v>0.3</v>
      </c>
      <c r="BY113" s="1985">
        <v>0.3</v>
      </c>
      <c r="BZ113" s="1932">
        <v>0.3</v>
      </c>
      <c r="CA113" s="1932">
        <v>0.3</v>
      </c>
      <c r="CB113" s="1933"/>
      <c r="CC113" s="1932"/>
      <c r="CD113" s="1932"/>
      <c r="CE113" s="2271"/>
      <c r="CG113" s="1927">
        <v>1</v>
      </c>
      <c r="CH113" s="1931" t="s">
        <v>163</v>
      </c>
      <c r="CI113" s="1953" t="s">
        <v>164</v>
      </c>
      <c r="CJ113" s="2703">
        <f t="shared" si="114"/>
        <v>0.3</v>
      </c>
      <c r="CK113" s="2703">
        <f t="shared" si="102"/>
        <v>0.3</v>
      </c>
      <c r="CL113" s="2703">
        <f t="shared" si="103"/>
        <v>0.3</v>
      </c>
      <c r="CM113" s="2703">
        <f t="shared" si="104"/>
        <v>0.3</v>
      </c>
      <c r="CN113" s="2703">
        <f t="shared" si="105"/>
        <v>0.3</v>
      </c>
      <c r="CO113" s="2703">
        <f t="shared" si="106"/>
        <v>0.3</v>
      </c>
      <c r="CP113" s="2703">
        <f t="shared" si="107"/>
        <v>0.3</v>
      </c>
      <c r="CQ113" s="2720">
        <f t="shared" si="108"/>
        <v>0.3</v>
      </c>
      <c r="CR113" s="2703">
        <f t="shared" si="109"/>
        <v>0.3</v>
      </c>
      <c r="CS113" s="2703">
        <f t="shared" si="110"/>
        <v>0.3</v>
      </c>
      <c r="CT113" s="2705">
        <f t="shared" si="111"/>
        <v>0</v>
      </c>
      <c r="CU113" s="2703">
        <f t="shared" si="112"/>
        <v>0</v>
      </c>
      <c r="CV113" s="2703">
        <f t="shared" si="113"/>
        <v>0</v>
      </c>
      <c r="CX113" s="1927">
        <v>1</v>
      </c>
      <c r="CY113" s="1931" t="s">
        <v>163</v>
      </c>
      <c r="CZ113" s="1953" t="s">
        <v>164</v>
      </c>
      <c r="DA113" s="2932">
        <v>0</v>
      </c>
      <c r="DB113" s="2693"/>
      <c r="DC113" s="2693"/>
      <c r="DD113" s="2693"/>
      <c r="DE113" s="2693"/>
      <c r="DF113" s="2693"/>
      <c r="DG113" s="2693"/>
      <c r="DH113" s="2914"/>
      <c r="DI113" s="2693"/>
      <c r="DJ113" s="2693"/>
      <c r="DK113" s="2694"/>
      <c r="DL113" s="2693"/>
      <c r="DM113" s="2693"/>
    </row>
    <row r="114" spans="1:117" hidden="1">
      <c r="A114" s="2687"/>
      <c r="B114" s="1916">
        <v>1</v>
      </c>
      <c r="C114" s="1928">
        <f t="shared" si="93"/>
        <v>0</v>
      </c>
      <c r="D114" s="1924" t="e">
        <f>IF(I$112=0,0,G114/I$112)</f>
        <v>#DIV/0!</v>
      </c>
      <c r="E114" s="1925" t="e">
        <f t="shared" ref="E114" si="127">IF(J$112=0,0,H114/J$112)</f>
        <v>#DIV/0!</v>
      </c>
      <c r="F114" s="2687"/>
      <c r="G114" s="1925" t="e">
        <f t="shared" ref="G114" si="128">K114*M114</f>
        <v>#DIV/0!</v>
      </c>
      <c r="H114" s="1925" t="e">
        <f t="shared" ref="H114" si="129">L114*N114</f>
        <v>#DIV/0!</v>
      </c>
      <c r="I114" s="1987" t="e">
        <f>SUM(G115)</f>
        <v>#DIV/0!</v>
      </c>
      <c r="J114" s="1987" t="e">
        <f>SUM(H115)</f>
        <v>#DIV/0!</v>
      </c>
      <c r="K114" s="1925" t="e">
        <f>IF(スコア!O114=0,0,1)</f>
        <v>#DIV/0!</v>
      </c>
      <c r="L114" s="1925" t="e">
        <f>IF(スコア!R114=0,0,1)</f>
        <v>#DIV/0!</v>
      </c>
      <c r="M114" s="1925" t="e">
        <f t="shared" ref="M114" si="130">SUMPRODUCT($S$7:$AB$7,S114:AB114)</f>
        <v>#DIV/0!</v>
      </c>
      <c r="N114" s="1925" t="e">
        <f>(AC$7*AC114)+(AD$7*AD114)+(AE$7*AE114)</f>
        <v>#DIV/0!</v>
      </c>
      <c r="O114" s="2687"/>
      <c r="P114" s="1927">
        <f t="shared" si="94"/>
        <v>0</v>
      </c>
      <c r="Q114" s="1927">
        <f t="shared" si="95"/>
        <v>0</v>
      </c>
      <c r="R114" s="1928">
        <f t="shared" si="96"/>
        <v>0</v>
      </c>
      <c r="S114" s="2796">
        <f t="shared" si="74"/>
        <v>0</v>
      </c>
      <c r="T114" s="2796">
        <f t="shared" si="75"/>
        <v>0</v>
      </c>
      <c r="U114" s="2796">
        <f t="shared" si="76"/>
        <v>0</v>
      </c>
      <c r="V114" s="2796">
        <f t="shared" si="77"/>
        <v>0</v>
      </c>
      <c r="W114" s="2796">
        <f t="shared" si="78"/>
        <v>0</v>
      </c>
      <c r="X114" s="2796">
        <f t="shared" si="79"/>
        <v>0</v>
      </c>
      <c r="Y114" s="2796">
        <f t="shared" si="80"/>
        <v>0</v>
      </c>
      <c r="Z114" s="2810">
        <f t="shared" si="81"/>
        <v>0</v>
      </c>
      <c r="AA114" s="2796">
        <f t="shared" si="82"/>
        <v>0</v>
      </c>
      <c r="AB114" s="2796">
        <f t="shared" si="83"/>
        <v>0</v>
      </c>
      <c r="AC114" s="2798">
        <f t="shared" si="84"/>
        <v>0</v>
      </c>
      <c r="AD114" s="2796">
        <f t="shared" si="85"/>
        <v>0</v>
      </c>
      <c r="AE114" s="2796">
        <f t="shared" si="86"/>
        <v>0</v>
      </c>
      <c r="AF114" s="2687"/>
      <c r="AG114" s="1927"/>
      <c r="AH114" s="1931"/>
      <c r="AI114" s="1953"/>
      <c r="AJ114" s="1929"/>
      <c r="AK114" s="1929"/>
      <c r="AL114" s="1929"/>
      <c r="AM114" s="1929"/>
      <c r="AN114" s="1929"/>
      <c r="AO114" s="1929"/>
      <c r="AP114" s="1929"/>
      <c r="AQ114" s="1984"/>
      <c r="AR114" s="1929"/>
      <c r="AS114" s="1932"/>
      <c r="AT114" s="1933"/>
      <c r="AU114" s="1932"/>
      <c r="AV114" s="1932"/>
      <c r="AW114" s="2687"/>
      <c r="AX114" s="1927"/>
      <c r="AY114" s="1931"/>
      <c r="AZ114" s="1953"/>
      <c r="BA114" s="1932"/>
      <c r="BB114" s="1932"/>
      <c r="BC114" s="1932"/>
      <c r="BD114" s="1932"/>
      <c r="BE114" s="1932"/>
      <c r="BF114" s="1932"/>
      <c r="BG114" s="1932"/>
      <c r="BH114" s="1985"/>
      <c r="BI114" s="1932"/>
      <c r="BJ114" s="1932"/>
      <c r="BK114" s="1933"/>
      <c r="BL114" s="1932"/>
      <c r="BM114" s="1932"/>
      <c r="BN114" s="2687"/>
      <c r="BO114" s="1927"/>
      <c r="BP114" s="1931"/>
      <c r="BQ114" s="1953"/>
      <c r="BR114" s="1932"/>
      <c r="BS114" s="1932"/>
      <c r="BT114" s="1932"/>
      <c r="BU114" s="1932"/>
      <c r="BV114" s="1932"/>
      <c r="BW114" s="1932"/>
      <c r="BX114" s="1932"/>
      <c r="BY114" s="1985"/>
      <c r="BZ114" s="1932"/>
      <c r="CA114" s="1932"/>
      <c r="CB114" s="1933"/>
      <c r="CC114" s="1932"/>
      <c r="CD114" s="1932"/>
      <c r="CE114" s="2271"/>
      <c r="CF114" s="2687"/>
      <c r="CG114" s="1927"/>
      <c r="CH114" s="1931"/>
      <c r="CI114" s="1953"/>
      <c r="CJ114" s="2703"/>
      <c r="CK114" s="2703"/>
      <c r="CL114" s="2703"/>
      <c r="CM114" s="2703"/>
      <c r="CN114" s="2703"/>
      <c r="CO114" s="2703"/>
      <c r="CP114" s="2703"/>
      <c r="CQ114" s="2720"/>
      <c r="CR114" s="2703"/>
      <c r="CS114" s="2703"/>
      <c r="CT114" s="2705"/>
      <c r="CU114" s="2703"/>
      <c r="CV114" s="2703"/>
      <c r="CX114" s="1927">
        <v>1</v>
      </c>
      <c r="CY114" s="1931" t="s">
        <v>163</v>
      </c>
      <c r="CZ114" s="2933" t="s">
        <v>3484</v>
      </c>
      <c r="DA114" s="2932">
        <v>1</v>
      </c>
      <c r="DB114" s="2693"/>
      <c r="DC114" s="2693"/>
      <c r="DD114" s="2693"/>
      <c r="DE114" s="2693"/>
      <c r="DF114" s="2693"/>
      <c r="DG114" s="2693"/>
      <c r="DH114" s="2914"/>
      <c r="DI114" s="2693"/>
      <c r="DJ114" s="2693"/>
      <c r="DK114" s="2694"/>
      <c r="DL114" s="2693"/>
      <c r="DM114" s="2693"/>
    </row>
    <row r="115" spans="1:117" hidden="1">
      <c r="A115" s="2687"/>
      <c r="B115" s="1916">
        <v>1.1000000000000001</v>
      </c>
      <c r="C115" s="1938">
        <f t="shared" si="93"/>
        <v>0</v>
      </c>
      <c r="D115" s="1936" t="e">
        <f>IF(I$114=0,0,G115/I$114)</f>
        <v>#DIV/0!</v>
      </c>
      <c r="E115" s="1936" t="e">
        <f>IF(J$114=0,0,H115/J$114)</f>
        <v>#DIV/0!</v>
      </c>
      <c r="F115" s="2687"/>
      <c r="G115" s="1936" t="e">
        <f>K115*M115</f>
        <v>#DIV/0!</v>
      </c>
      <c r="H115" s="1936" t="e">
        <f>L115*N115</f>
        <v>#DIV/0!</v>
      </c>
      <c r="I115" s="869"/>
      <c r="J115" s="1936"/>
      <c r="K115" s="1936">
        <f>IF(スコア!O115=0,0,1)</f>
        <v>1</v>
      </c>
      <c r="L115" s="1936">
        <f>IF(スコア!R115=0,0,1)</f>
        <v>0</v>
      </c>
      <c r="M115" s="1936" t="e">
        <f>SUMPRODUCT($S$7:$AB$7,S115:AB115)</f>
        <v>#DIV/0!</v>
      </c>
      <c r="N115" s="1936" t="e">
        <f t="shared" ref="N115" si="131">(AC$7*AC115)+(AD$7*AD115)+(AE$7*AE115)</f>
        <v>#DIV/0!</v>
      </c>
      <c r="O115" s="2687"/>
      <c r="P115" s="1927">
        <f t="shared" si="94"/>
        <v>0</v>
      </c>
      <c r="Q115" s="1927">
        <f t="shared" si="95"/>
        <v>0</v>
      </c>
      <c r="R115" s="1928">
        <f t="shared" si="96"/>
        <v>0</v>
      </c>
      <c r="S115" s="2796">
        <f t="shared" si="74"/>
        <v>0</v>
      </c>
      <c r="T115" s="2796">
        <f t="shared" si="75"/>
        <v>0</v>
      </c>
      <c r="U115" s="2796">
        <f t="shared" si="76"/>
        <v>0</v>
      </c>
      <c r="V115" s="2796">
        <f t="shared" si="77"/>
        <v>0</v>
      </c>
      <c r="W115" s="2796">
        <f t="shared" si="78"/>
        <v>0</v>
      </c>
      <c r="X115" s="2796">
        <f t="shared" si="79"/>
        <v>0</v>
      </c>
      <c r="Y115" s="2796">
        <f t="shared" si="80"/>
        <v>0</v>
      </c>
      <c r="Z115" s="2810">
        <f t="shared" si="81"/>
        <v>0</v>
      </c>
      <c r="AA115" s="2796">
        <f t="shared" si="82"/>
        <v>0</v>
      </c>
      <c r="AB115" s="2796">
        <f t="shared" si="83"/>
        <v>0</v>
      </c>
      <c r="AC115" s="2798">
        <f t="shared" si="84"/>
        <v>0</v>
      </c>
      <c r="AD115" s="2796">
        <f t="shared" si="85"/>
        <v>0</v>
      </c>
      <c r="AE115" s="2796">
        <f t="shared" si="86"/>
        <v>0</v>
      </c>
      <c r="AF115" s="2687"/>
      <c r="AG115" s="1927"/>
      <c r="AH115" s="1931"/>
      <c r="AI115" s="1953"/>
      <c r="AJ115" s="1929"/>
      <c r="AK115" s="1929"/>
      <c r="AL115" s="1929"/>
      <c r="AM115" s="1929"/>
      <c r="AN115" s="1929"/>
      <c r="AO115" s="1929"/>
      <c r="AP115" s="1929"/>
      <c r="AQ115" s="1984"/>
      <c r="AR115" s="1929"/>
      <c r="AS115" s="1932"/>
      <c r="AT115" s="1933"/>
      <c r="AU115" s="1932"/>
      <c r="AV115" s="1932"/>
      <c r="AW115" s="2687"/>
      <c r="AX115" s="1927"/>
      <c r="AY115" s="1931"/>
      <c r="AZ115" s="1953"/>
      <c r="BA115" s="1932"/>
      <c r="BB115" s="1932"/>
      <c r="BC115" s="1932"/>
      <c r="BD115" s="1932"/>
      <c r="BE115" s="1932"/>
      <c r="BF115" s="1932"/>
      <c r="BG115" s="1932"/>
      <c r="BH115" s="1985"/>
      <c r="BI115" s="1932"/>
      <c r="BJ115" s="1932"/>
      <c r="BK115" s="1933"/>
      <c r="BL115" s="1932"/>
      <c r="BM115" s="1932"/>
      <c r="BN115" s="2687"/>
      <c r="BO115" s="1927"/>
      <c r="BP115" s="1931"/>
      <c r="BQ115" s="1953"/>
      <c r="BR115" s="1932"/>
      <c r="BS115" s="1932"/>
      <c r="BT115" s="1932"/>
      <c r="BU115" s="1932"/>
      <c r="BV115" s="1932"/>
      <c r="BW115" s="1932"/>
      <c r="BX115" s="1932"/>
      <c r="BY115" s="1985"/>
      <c r="BZ115" s="1932"/>
      <c r="CA115" s="1932"/>
      <c r="CB115" s="1933"/>
      <c r="CC115" s="1932"/>
      <c r="CD115" s="1932"/>
      <c r="CE115" s="2271"/>
      <c r="CF115" s="2687"/>
      <c r="CG115" s="1927"/>
      <c r="CH115" s="1931"/>
      <c r="CI115" s="1953"/>
      <c r="CJ115" s="2703"/>
      <c r="CK115" s="2703"/>
      <c r="CL115" s="2703"/>
      <c r="CM115" s="2703"/>
      <c r="CN115" s="2703"/>
      <c r="CO115" s="2703"/>
      <c r="CP115" s="2703"/>
      <c r="CQ115" s="2720"/>
      <c r="CR115" s="2703"/>
      <c r="CS115" s="2703"/>
      <c r="CT115" s="2705"/>
      <c r="CU115" s="2703"/>
      <c r="CV115" s="2703"/>
      <c r="CX115" s="1937" t="s">
        <v>1405</v>
      </c>
      <c r="CY115" s="1941" t="s">
        <v>165</v>
      </c>
      <c r="CZ115" s="2934" t="s">
        <v>3475</v>
      </c>
      <c r="DA115" s="2932">
        <v>1</v>
      </c>
      <c r="DB115" s="2693"/>
      <c r="DC115" s="2693"/>
      <c r="DD115" s="2693"/>
      <c r="DE115" s="2693"/>
      <c r="DF115" s="2693"/>
      <c r="DG115" s="2693"/>
      <c r="DH115" s="2914"/>
      <c r="DI115" s="2693"/>
      <c r="DJ115" s="2693"/>
      <c r="DK115" s="2694"/>
      <c r="DL115" s="2693"/>
      <c r="DM115" s="2693"/>
    </row>
    <row r="116" spans="1:117">
      <c r="B116" s="1916">
        <f t="shared" si="125"/>
        <v>2</v>
      </c>
      <c r="C116" s="1928" t="str">
        <f t="shared" si="93"/>
        <v>まちなみ・景観への配慮</v>
      </c>
      <c r="D116" s="1924" t="e">
        <f t="shared" si="126"/>
        <v>#DIV/0!</v>
      </c>
      <c r="E116" s="1925" t="e">
        <f t="shared" si="126"/>
        <v>#DIV/0!</v>
      </c>
      <c r="G116" s="1925" t="e">
        <f t="shared" si="122"/>
        <v>#DIV/0!</v>
      </c>
      <c r="H116" s="1925" t="e">
        <f t="shared" si="123"/>
        <v>#DIV/0!</v>
      </c>
      <c r="I116" s="1925"/>
      <c r="J116" s="1925"/>
      <c r="K116" s="1925">
        <f>IF(スコア!O116=0,0,1)</f>
        <v>1</v>
      </c>
      <c r="L116" s="1925">
        <f>IF(スコア!R116=0,0,1)</f>
        <v>0</v>
      </c>
      <c r="M116" s="1925" t="e">
        <f t="shared" si="124"/>
        <v>#DIV/0!</v>
      </c>
      <c r="N116" s="1925" t="e">
        <f t="shared" si="120"/>
        <v>#DIV/0!</v>
      </c>
      <c r="P116" s="1927">
        <f t="shared" si="94"/>
        <v>2</v>
      </c>
      <c r="Q116" s="1927" t="str">
        <f t="shared" si="95"/>
        <v xml:space="preserve"> Q3</v>
      </c>
      <c r="R116" s="1928" t="str">
        <f t="shared" si="96"/>
        <v>まちなみ・景観への配慮</v>
      </c>
      <c r="S116" s="2796">
        <f t="shared" si="74"/>
        <v>0.4</v>
      </c>
      <c r="T116" s="2796">
        <f t="shared" si="75"/>
        <v>0.4</v>
      </c>
      <c r="U116" s="2796">
        <f t="shared" si="76"/>
        <v>0.4</v>
      </c>
      <c r="V116" s="2796">
        <f t="shared" si="77"/>
        <v>0.4</v>
      </c>
      <c r="W116" s="2796">
        <f t="shared" si="78"/>
        <v>0.4</v>
      </c>
      <c r="X116" s="2796">
        <f t="shared" si="79"/>
        <v>0.4</v>
      </c>
      <c r="Y116" s="2796">
        <f t="shared" si="80"/>
        <v>0.4</v>
      </c>
      <c r="Z116" s="2810">
        <f t="shared" si="81"/>
        <v>0.4</v>
      </c>
      <c r="AA116" s="2796">
        <f t="shared" si="82"/>
        <v>0.4</v>
      </c>
      <c r="AB116" s="2796">
        <f t="shared" si="83"/>
        <v>0.4</v>
      </c>
      <c r="AC116" s="2798">
        <f t="shared" si="84"/>
        <v>0</v>
      </c>
      <c r="AD116" s="2796">
        <f t="shared" si="85"/>
        <v>0</v>
      </c>
      <c r="AE116" s="2796">
        <f t="shared" si="86"/>
        <v>0</v>
      </c>
      <c r="AG116" s="1927">
        <v>2</v>
      </c>
      <c r="AH116" s="1931" t="s">
        <v>163</v>
      </c>
      <c r="AI116" s="1953" t="s">
        <v>1403</v>
      </c>
      <c r="AJ116" s="1929">
        <v>0.4</v>
      </c>
      <c r="AK116" s="1929">
        <v>0.4</v>
      </c>
      <c r="AL116" s="1929">
        <v>0.4</v>
      </c>
      <c r="AM116" s="1929">
        <v>0.4</v>
      </c>
      <c r="AN116" s="1929">
        <v>0.4</v>
      </c>
      <c r="AO116" s="1929">
        <v>0.4</v>
      </c>
      <c r="AP116" s="1929">
        <v>0.4</v>
      </c>
      <c r="AQ116" s="1984">
        <v>0.4</v>
      </c>
      <c r="AR116" s="1929">
        <v>0.4</v>
      </c>
      <c r="AS116" s="1932">
        <v>0.4</v>
      </c>
      <c r="AT116" s="1933">
        <v>0</v>
      </c>
      <c r="AU116" s="1932">
        <v>0</v>
      </c>
      <c r="AV116" s="1932">
        <v>0</v>
      </c>
      <c r="AX116" s="1927">
        <v>2</v>
      </c>
      <c r="AY116" s="1931" t="s">
        <v>163</v>
      </c>
      <c r="AZ116" s="1953" t="s">
        <v>1403</v>
      </c>
      <c r="BA116" s="1932">
        <v>0.4</v>
      </c>
      <c r="BB116" s="1932">
        <v>0.4</v>
      </c>
      <c r="BC116" s="1932">
        <v>0.4</v>
      </c>
      <c r="BD116" s="1932">
        <v>0.4</v>
      </c>
      <c r="BE116" s="1932">
        <v>0.4</v>
      </c>
      <c r="BF116" s="1932">
        <v>0.4</v>
      </c>
      <c r="BG116" s="1932">
        <v>0.4</v>
      </c>
      <c r="BH116" s="1985">
        <v>0.4</v>
      </c>
      <c r="BI116" s="1932">
        <v>0.4</v>
      </c>
      <c r="BJ116" s="1932">
        <v>0.4</v>
      </c>
      <c r="BK116" s="1933"/>
      <c r="BL116" s="1932"/>
      <c r="BM116" s="1932"/>
      <c r="BO116" s="1927">
        <v>2</v>
      </c>
      <c r="BP116" s="1931" t="s">
        <v>163</v>
      </c>
      <c r="BQ116" s="1953" t="s">
        <v>1403</v>
      </c>
      <c r="BR116" s="1932">
        <v>0.4</v>
      </c>
      <c r="BS116" s="1932">
        <v>0.4</v>
      </c>
      <c r="BT116" s="1932">
        <v>0.4</v>
      </c>
      <c r="BU116" s="1932">
        <v>0.4</v>
      </c>
      <c r="BV116" s="1932">
        <v>0.4</v>
      </c>
      <c r="BW116" s="1932">
        <v>0.4</v>
      </c>
      <c r="BX116" s="1932">
        <v>0.4</v>
      </c>
      <c r="BY116" s="1985">
        <v>0.4</v>
      </c>
      <c r="BZ116" s="1932">
        <v>0.4</v>
      </c>
      <c r="CA116" s="1932">
        <v>0.4</v>
      </c>
      <c r="CB116" s="1933"/>
      <c r="CC116" s="1932"/>
      <c r="CD116" s="1932"/>
      <c r="CE116" s="2271"/>
      <c r="CG116" s="1927">
        <v>2</v>
      </c>
      <c r="CH116" s="1931" t="s">
        <v>163</v>
      </c>
      <c r="CI116" s="1953" t="s">
        <v>1403</v>
      </c>
      <c r="CJ116" s="2703">
        <f t="shared" si="114"/>
        <v>0.4</v>
      </c>
      <c r="CK116" s="2703">
        <f t="shared" si="102"/>
        <v>0.4</v>
      </c>
      <c r="CL116" s="2703">
        <f t="shared" si="103"/>
        <v>0.4</v>
      </c>
      <c r="CM116" s="2703">
        <f t="shared" si="104"/>
        <v>0.4</v>
      </c>
      <c r="CN116" s="2703">
        <f t="shared" si="105"/>
        <v>0.4</v>
      </c>
      <c r="CO116" s="2703">
        <f t="shared" si="106"/>
        <v>0.4</v>
      </c>
      <c r="CP116" s="2703">
        <f t="shared" si="107"/>
        <v>0.4</v>
      </c>
      <c r="CQ116" s="2720">
        <f t="shared" si="108"/>
        <v>0.4</v>
      </c>
      <c r="CR116" s="2703">
        <f t="shared" si="109"/>
        <v>0.4</v>
      </c>
      <c r="CS116" s="2703">
        <f t="shared" si="110"/>
        <v>0.4</v>
      </c>
      <c r="CT116" s="2705">
        <f t="shared" si="111"/>
        <v>0</v>
      </c>
      <c r="CU116" s="2703">
        <f t="shared" si="112"/>
        <v>0</v>
      </c>
      <c r="CV116" s="2703">
        <f t="shared" si="113"/>
        <v>0</v>
      </c>
      <c r="CX116" s="1927">
        <v>2</v>
      </c>
      <c r="CY116" s="1931" t="s">
        <v>163</v>
      </c>
      <c r="CZ116" s="1953" t="s">
        <v>1403</v>
      </c>
      <c r="DA116" s="2932">
        <v>0</v>
      </c>
      <c r="DB116" s="2693"/>
      <c r="DC116" s="2693"/>
      <c r="DD116" s="2693"/>
      <c r="DE116" s="2693"/>
      <c r="DF116" s="2693"/>
      <c r="DG116" s="2693"/>
      <c r="DH116" s="2914"/>
      <c r="DI116" s="2693"/>
      <c r="DJ116" s="2693"/>
      <c r="DK116" s="2694"/>
      <c r="DL116" s="2693"/>
      <c r="DM116" s="2693"/>
    </row>
    <row r="117" spans="1:117">
      <c r="B117" s="1916">
        <f t="shared" si="125"/>
        <v>3</v>
      </c>
      <c r="C117" s="1928" t="str">
        <f t="shared" si="93"/>
        <v>地域性・アメニティへの配慮</v>
      </c>
      <c r="D117" s="1924" t="e">
        <f t="shared" si="126"/>
        <v>#DIV/0!</v>
      </c>
      <c r="E117" s="1925" t="e">
        <f t="shared" si="126"/>
        <v>#DIV/0!</v>
      </c>
      <c r="G117" s="1925" t="e">
        <f t="shared" si="122"/>
        <v>#DIV/0!</v>
      </c>
      <c r="H117" s="1925" t="e">
        <f t="shared" si="123"/>
        <v>#DIV/0!</v>
      </c>
      <c r="I117" s="1987" t="e">
        <f>SUM(G118:G119)</f>
        <v>#DIV/0!</v>
      </c>
      <c r="J117" s="1987" t="e">
        <f>SUM(H118:H119)</f>
        <v>#DIV/0!</v>
      </c>
      <c r="K117" s="1925" t="e">
        <f>IF(スコア!O117=0,0,1)</f>
        <v>#DIV/0!</v>
      </c>
      <c r="L117" s="1925" t="e">
        <f>IF(スコア!R117=0,0,1)</f>
        <v>#DIV/0!</v>
      </c>
      <c r="M117" s="1925" t="e">
        <f t="shared" si="124"/>
        <v>#DIV/0!</v>
      </c>
      <c r="N117" s="1925" t="e">
        <f t="shared" si="120"/>
        <v>#DIV/0!</v>
      </c>
      <c r="P117" s="1927">
        <f t="shared" si="94"/>
        <v>3</v>
      </c>
      <c r="Q117" s="1927" t="str">
        <f t="shared" si="95"/>
        <v xml:space="preserve"> Q3</v>
      </c>
      <c r="R117" s="1928" t="str">
        <f t="shared" si="96"/>
        <v>地域性・アメニティへの配慮</v>
      </c>
      <c r="S117" s="2796">
        <f t="shared" si="74"/>
        <v>0.3</v>
      </c>
      <c r="T117" s="2796">
        <f t="shared" si="75"/>
        <v>0.3</v>
      </c>
      <c r="U117" s="2796">
        <f t="shared" si="76"/>
        <v>0.3</v>
      </c>
      <c r="V117" s="2796">
        <f t="shared" si="77"/>
        <v>0.3</v>
      </c>
      <c r="W117" s="2796">
        <f t="shared" si="78"/>
        <v>0.3</v>
      </c>
      <c r="X117" s="2796">
        <f t="shared" si="79"/>
        <v>0.3</v>
      </c>
      <c r="Y117" s="2796">
        <f t="shared" si="80"/>
        <v>0.3</v>
      </c>
      <c r="Z117" s="2810">
        <f t="shared" si="81"/>
        <v>0.3</v>
      </c>
      <c r="AA117" s="2796">
        <f t="shared" si="82"/>
        <v>0.3</v>
      </c>
      <c r="AB117" s="2796">
        <f t="shared" si="83"/>
        <v>0.3</v>
      </c>
      <c r="AC117" s="2798">
        <f t="shared" si="84"/>
        <v>0</v>
      </c>
      <c r="AD117" s="2796">
        <f t="shared" si="85"/>
        <v>0</v>
      </c>
      <c r="AE117" s="2796">
        <f t="shared" si="86"/>
        <v>0</v>
      </c>
      <c r="AG117" s="1927">
        <v>3</v>
      </c>
      <c r="AH117" s="1931" t="s">
        <v>163</v>
      </c>
      <c r="AI117" s="1953" t="s">
        <v>1404</v>
      </c>
      <c r="AJ117" s="1929">
        <v>0.3</v>
      </c>
      <c r="AK117" s="1929">
        <v>0.3</v>
      </c>
      <c r="AL117" s="1929">
        <v>0.3</v>
      </c>
      <c r="AM117" s="1929">
        <v>0.3</v>
      </c>
      <c r="AN117" s="1929">
        <v>0.3</v>
      </c>
      <c r="AO117" s="1929">
        <v>0.3</v>
      </c>
      <c r="AP117" s="1929">
        <v>0.3</v>
      </c>
      <c r="AQ117" s="1984">
        <v>0.3</v>
      </c>
      <c r="AR117" s="1929">
        <v>0.3</v>
      </c>
      <c r="AS117" s="1932">
        <v>0.3</v>
      </c>
      <c r="AT117" s="1933">
        <v>0</v>
      </c>
      <c r="AU117" s="1932">
        <v>0</v>
      </c>
      <c r="AV117" s="1932">
        <v>0</v>
      </c>
      <c r="AX117" s="1927">
        <v>3</v>
      </c>
      <c r="AY117" s="1931" t="s">
        <v>163</v>
      </c>
      <c r="AZ117" s="1953" t="s">
        <v>1404</v>
      </c>
      <c r="BA117" s="1932">
        <v>0.3</v>
      </c>
      <c r="BB117" s="1932">
        <v>0.3</v>
      </c>
      <c r="BC117" s="1932">
        <v>0.3</v>
      </c>
      <c r="BD117" s="1932">
        <v>0.3</v>
      </c>
      <c r="BE117" s="1932">
        <v>0.3</v>
      </c>
      <c r="BF117" s="1932">
        <v>0.3</v>
      </c>
      <c r="BG117" s="1932">
        <v>0.3</v>
      </c>
      <c r="BH117" s="1985">
        <v>0.3</v>
      </c>
      <c r="BI117" s="1932">
        <v>0.3</v>
      </c>
      <c r="BJ117" s="1932">
        <v>0.3</v>
      </c>
      <c r="BK117" s="1933"/>
      <c r="BL117" s="1932"/>
      <c r="BM117" s="1932"/>
      <c r="BO117" s="1927">
        <v>3</v>
      </c>
      <c r="BP117" s="1931" t="s">
        <v>163</v>
      </c>
      <c r="BQ117" s="1953" t="s">
        <v>1404</v>
      </c>
      <c r="BR117" s="1932">
        <v>0.3</v>
      </c>
      <c r="BS117" s="1932">
        <v>0.3</v>
      </c>
      <c r="BT117" s="1932">
        <v>0.3</v>
      </c>
      <c r="BU117" s="1932">
        <v>0.3</v>
      </c>
      <c r="BV117" s="1932">
        <v>0.3</v>
      </c>
      <c r="BW117" s="1932">
        <v>0.3</v>
      </c>
      <c r="BX117" s="1932">
        <v>0.3</v>
      </c>
      <c r="BY117" s="1985">
        <v>0.3</v>
      </c>
      <c r="BZ117" s="1932">
        <v>0.3</v>
      </c>
      <c r="CA117" s="1932">
        <v>0.3</v>
      </c>
      <c r="CB117" s="1933"/>
      <c r="CC117" s="1932"/>
      <c r="CD117" s="1932"/>
      <c r="CE117" s="2271"/>
      <c r="CG117" s="1927">
        <v>3</v>
      </c>
      <c r="CH117" s="1931" t="s">
        <v>163</v>
      </c>
      <c r="CI117" s="1953" t="s">
        <v>1404</v>
      </c>
      <c r="CJ117" s="2703">
        <f t="shared" si="114"/>
        <v>0.3</v>
      </c>
      <c r="CK117" s="2703">
        <f t="shared" si="102"/>
        <v>0.3</v>
      </c>
      <c r="CL117" s="2703">
        <f t="shared" si="103"/>
        <v>0.3</v>
      </c>
      <c r="CM117" s="2703">
        <f t="shared" si="104"/>
        <v>0.3</v>
      </c>
      <c r="CN117" s="2703">
        <f t="shared" si="105"/>
        <v>0.3</v>
      </c>
      <c r="CO117" s="2703">
        <f t="shared" si="106"/>
        <v>0.3</v>
      </c>
      <c r="CP117" s="2703">
        <f t="shared" si="107"/>
        <v>0.3</v>
      </c>
      <c r="CQ117" s="2720">
        <f t="shared" si="108"/>
        <v>0.3</v>
      </c>
      <c r="CR117" s="2703">
        <f t="shared" si="109"/>
        <v>0.3</v>
      </c>
      <c r="CS117" s="2703">
        <f t="shared" si="110"/>
        <v>0.3</v>
      </c>
      <c r="CT117" s="2705">
        <f t="shared" si="111"/>
        <v>0</v>
      </c>
      <c r="CU117" s="2703">
        <f t="shared" si="112"/>
        <v>0</v>
      </c>
      <c r="CV117" s="2703">
        <f t="shared" si="113"/>
        <v>0</v>
      </c>
      <c r="CX117" s="1927">
        <v>3</v>
      </c>
      <c r="CY117" s="1931" t="s">
        <v>163</v>
      </c>
      <c r="CZ117" s="1953" t="s">
        <v>1404</v>
      </c>
      <c r="DA117" s="2932">
        <v>0</v>
      </c>
      <c r="DB117" s="2693"/>
      <c r="DC117" s="2693"/>
      <c r="DD117" s="2693"/>
      <c r="DE117" s="2693"/>
      <c r="DF117" s="2693"/>
      <c r="DG117" s="2693"/>
      <c r="DH117" s="2914"/>
      <c r="DI117" s="2693"/>
      <c r="DJ117" s="2693"/>
      <c r="DK117" s="2694"/>
      <c r="DL117" s="2693"/>
      <c r="DM117" s="2693"/>
    </row>
    <row r="118" spans="1:117">
      <c r="B118" s="1916" t="str">
        <f t="shared" si="125"/>
        <v>3.1</v>
      </c>
      <c r="C118" s="1938" t="str">
        <f t="shared" si="93"/>
        <v>地域性への配慮、快適性の向上</v>
      </c>
      <c r="D118" s="1935" t="e">
        <f>IF(I$117=0,0,G118/I$117)</f>
        <v>#DIV/0!</v>
      </c>
      <c r="E118" s="1936" t="e">
        <f>IF(J$117=0,0,H118/J$117)</f>
        <v>#DIV/0!</v>
      </c>
      <c r="G118" s="1936" t="e">
        <f>K118*M118</f>
        <v>#DIV/0!</v>
      </c>
      <c r="H118" s="1936" t="e">
        <f t="shared" si="123"/>
        <v>#DIV/0!</v>
      </c>
      <c r="I118" s="869"/>
      <c r="J118" s="1936"/>
      <c r="K118" s="1936">
        <f>IF(スコア!O118=0,0,1)</f>
        <v>1</v>
      </c>
      <c r="L118" s="1936">
        <f>IF(スコア!R118=0,0,1)</f>
        <v>0</v>
      </c>
      <c r="M118" s="1936" t="e">
        <f t="shared" si="124"/>
        <v>#DIV/0!</v>
      </c>
      <c r="N118" s="1936" t="e">
        <f t="shared" si="120"/>
        <v>#DIV/0!</v>
      </c>
      <c r="P118" s="1937" t="str">
        <f t="shared" si="94"/>
        <v>3.1</v>
      </c>
      <c r="Q118" s="1937" t="str">
        <f t="shared" si="95"/>
        <v xml:space="preserve"> Q3 3</v>
      </c>
      <c r="R118" s="1938" t="str">
        <f t="shared" si="96"/>
        <v>地域性への配慮、快適性の向上</v>
      </c>
      <c r="S118" s="2811">
        <f t="shared" si="74"/>
        <v>0.5</v>
      </c>
      <c r="T118" s="2811">
        <f t="shared" si="75"/>
        <v>0.5</v>
      </c>
      <c r="U118" s="2811">
        <f t="shared" si="76"/>
        <v>0.5</v>
      </c>
      <c r="V118" s="2811">
        <f t="shared" si="77"/>
        <v>0.5</v>
      </c>
      <c r="W118" s="2811">
        <f t="shared" si="78"/>
        <v>0.5</v>
      </c>
      <c r="X118" s="2811">
        <f t="shared" si="79"/>
        <v>0.5</v>
      </c>
      <c r="Y118" s="2811">
        <f t="shared" si="80"/>
        <v>0.5</v>
      </c>
      <c r="Z118" s="2811">
        <f t="shared" si="81"/>
        <v>0.5</v>
      </c>
      <c r="AA118" s="2811">
        <f t="shared" si="82"/>
        <v>0.5</v>
      </c>
      <c r="AB118" s="2811">
        <f t="shared" si="83"/>
        <v>0.5</v>
      </c>
      <c r="AC118" s="2812">
        <f t="shared" si="84"/>
        <v>0</v>
      </c>
      <c r="AD118" s="2811">
        <f t="shared" si="85"/>
        <v>0</v>
      </c>
      <c r="AE118" s="2811">
        <f t="shared" si="86"/>
        <v>0</v>
      </c>
      <c r="AG118" s="1937" t="s">
        <v>1405</v>
      </c>
      <c r="AH118" s="1941" t="s">
        <v>165</v>
      </c>
      <c r="AI118" s="1988" t="s">
        <v>1406</v>
      </c>
      <c r="AJ118" s="1989">
        <v>0.5</v>
      </c>
      <c r="AK118" s="1989">
        <v>0.5</v>
      </c>
      <c r="AL118" s="1989">
        <v>0.5</v>
      </c>
      <c r="AM118" s="1989">
        <v>0.5</v>
      </c>
      <c r="AN118" s="1989">
        <v>0.5</v>
      </c>
      <c r="AO118" s="1989">
        <v>0.5</v>
      </c>
      <c r="AP118" s="1989">
        <v>0.5</v>
      </c>
      <c r="AQ118" s="1989">
        <v>0.5</v>
      </c>
      <c r="AR118" s="1989">
        <v>0.5</v>
      </c>
      <c r="AS118" s="1990">
        <v>0.5</v>
      </c>
      <c r="AT118" s="1991">
        <v>0</v>
      </c>
      <c r="AU118" s="1990">
        <v>0</v>
      </c>
      <c r="AV118" s="1990">
        <v>0</v>
      </c>
      <c r="AX118" s="1937" t="s">
        <v>1405</v>
      </c>
      <c r="AY118" s="1941" t="s">
        <v>165</v>
      </c>
      <c r="AZ118" s="1988" t="s">
        <v>1406</v>
      </c>
      <c r="BA118" s="1990">
        <v>0.5</v>
      </c>
      <c r="BB118" s="1990">
        <v>0.5</v>
      </c>
      <c r="BC118" s="1990">
        <v>0.5</v>
      </c>
      <c r="BD118" s="1990">
        <v>0.5</v>
      </c>
      <c r="BE118" s="1990">
        <v>0.5</v>
      </c>
      <c r="BF118" s="1990">
        <v>0.5</v>
      </c>
      <c r="BG118" s="1990">
        <v>0.5</v>
      </c>
      <c r="BH118" s="1990">
        <v>0.5</v>
      </c>
      <c r="BI118" s="1990">
        <v>0.5</v>
      </c>
      <c r="BJ118" s="1990">
        <v>0.5</v>
      </c>
      <c r="BK118" s="1991"/>
      <c r="BL118" s="1990"/>
      <c r="BM118" s="1990"/>
      <c r="BO118" s="1937" t="s">
        <v>1405</v>
      </c>
      <c r="BP118" s="1941" t="s">
        <v>165</v>
      </c>
      <c r="BQ118" s="1988" t="s">
        <v>1406</v>
      </c>
      <c r="BR118" s="1990">
        <v>0.5</v>
      </c>
      <c r="BS118" s="1990">
        <v>0.5</v>
      </c>
      <c r="BT118" s="1990">
        <v>0.5</v>
      </c>
      <c r="BU118" s="1990">
        <v>0.5</v>
      </c>
      <c r="BV118" s="1990">
        <v>0.5</v>
      </c>
      <c r="BW118" s="1990">
        <v>0.5</v>
      </c>
      <c r="BX118" s="1990">
        <v>0.5</v>
      </c>
      <c r="BY118" s="1990">
        <v>0.5</v>
      </c>
      <c r="BZ118" s="1990">
        <v>0.5</v>
      </c>
      <c r="CA118" s="1990">
        <v>0.5</v>
      </c>
      <c r="CB118" s="1991"/>
      <c r="CC118" s="1990"/>
      <c r="CD118" s="1990"/>
      <c r="CE118" s="2275"/>
      <c r="CG118" s="1937" t="s">
        <v>1405</v>
      </c>
      <c r="CH118" s="1941" t="s">
        <v>165</v>
      </c>
      <c r="CI118" s="1988" t="s">
        <v>1406</v>
      </c>
      <c r="CJ118" s="2721">
        <f t="shared" si="114"/>
        <v>0.5</v>
      </c>
      <c r="CK118" s="2721">
        <f t="shared" si="102"/>
        <v>0.5</v>
      </c>
      <c r="CL118" s="2721">
        <f t="shared" si="103"/>
        <v>0.5</v>
      </c>
      <c r="CM118" s="2721">
        <f t="shared" si="104"/>
        <v>0.5</v>
      </c>
      <c r="CN118" s="2721">
        <f t="shared" si="105"/>
        <v>0.5</v>
      </c>
      <c r="CO118" s="2721">
        <f t="shared" si="106"/>
        <v>0.5</v>
      </c>
      <c r="CP118" s="2721">
        <f t="shared" si="107"/>
        <v>0.5</v>
      </c>
      <c r="CQ118" s="2721">
        <f t="shared" si="108"/>
        <v>0.5</v>
      </c>
      <c r="CR118" s="2721">
        <f t="shared" si="109"/>
        <v>0.5</v>
      </c>
      <c r="CS118" s="2721">
        <f t="shared" si="110"/>
        <v>0.5</v>
      </c>
      <c r="CT118" s="2722">
        <f t="shared" si="111"/>
        <v>0</v>
      </c>
      <c r="CU118" s="2721">
        <f t="shared" si="112"/>
        <v>0</v>
      </c>
      <c r="CV118" s="2721">
        <f t="shared" si="113"/>
        <v>0</v>
      </c>
      <c r="CX118" s="1937" t="s">
        <v>1405</v>
      </c>
      <c r="CY118" s="1941" t="s">
        <v>165</v>
      </c>
      <c r="CZ118" s="1988" t="s">
        <v>1406</v>
      </c>
      <c r="DA118" s="2935">
        <v>0</v>
      </c>
      <c r="DB118" s="2698"/>
      <c r="DC118" s="2698"/>
      <c r="DD118" s="2698"/>
      <c r="DE118" s="2698"/>
      <c r="DF118" s="2698"/>
      <c r="DG118" s="2698"/>
      <c r="DH118" s="2698"/>
      <c r="DI118" s="2698"/>
      <c r="DJ118" s="2698"/>
      <c r="DK118" s="2915"/>
      <c r="DL118" s="2698"/>
      <c r="DM118" s="2698"/>
    </row>
    <row r="119" spans="1:117">
      <c r="B119" s="1916" t="str">
        <f t="shared" si="125"/>
        <v>3.2</v>
      </c>
      <c r="C119" s="1938" t="str">
        <f t="shared" si="93"/>
        <v>敷地内温熱環境の向上</v>
      </c>
      <c r="D119" s="1935" t="e">
        <f>IF(I$117=0,0,G119/I$117)</f>
        <v>#DIV/0!</v>
      </c>
      <c r="E119" s="1936" t="e">
        <f>IF(J$117=0,0,H119/J$117)</f>
        <v>#DIV/0!</v>
      </c>
      <c r="G119" s="1936" t="e">
        <f t="shared" si="122"/>
        <v>#DIV/0!</v>
      </c>
      <c r="H119" s="1936" t="e">
        <f t="shared" si="123"/>
        <v>#DIV/0!</v>
      </c>
      <c r="I119" s="869"/>
      <c r="J119" s="1936"/>
      <c r="K119" s="1936">
        <f>IF(スコア!O119=0,0,1)</f>
        <v>1</v>
      </c>
      <c r="L119" s="1936">
        <f>IF(スコア!R119=0,0,1)</f>
        <v>0</v>
      </c>
      <c r="M119" s="1936" t="e">
        <f t="shared" si="124"/>
        <v>#DIV/0!</v>
      </c>
      <c r="N119" s="1936" t="e">
        <f t="shared" si="120"/>
        <v>#DIV/0!</v>
      </c>
      <c r="P119" s="1937" t="str">
        <f t="shared" si="94"/>
        <v>3.2</v>
      </c>
      <c r="Q119" s="1937" t="str">
        <f t="shared" si="95"/>
        <v xml:space="preserve"> Q3 3</v>
      </c>
      <c r="R119" s="1938" t="str">
        <f t="shared" si="96"/>
        <v>敷地内温熱環境の向上</v>
      </c>
      <c r="S119" s="2811">
        <f t="shared" si="74"/>
        <v>0.5</v>
      </c>
      <c r="T119" s="2811">
        <f t="shared" si="75"/>
        <v>0.5</v>
      </c>
      <c r="U119" s="2811">
        <f t="shared" si="76"/>
        <v>0.5</v>
      </c>
      <c r="V119" s="2811">
        <f t="shared" si="77"/>
        <v>0.5</v>
      </c>
      <c r="W119" s="2811">
        <f t="shared" si="78"/>
        <v>0.5</v>
      </c>
      <c r="X119" s="2811">
        <f t="shared" si="79"/>
        <v>0.5</v>
      </c>
      <c r="Y119" s="2811">
        <f t="shared" si="80"/>
        <v>0.5</v>
      </c>
      <c r="Z119" s="2811">
        <f t="shared" si="81"/>
        <v>0.5</v>
      </c>
      <c r="AA119" s="2811">
        <f t="shared" si="82"/>
        <v>0.5</v>
      </c>
      <c r="AB119" s="2811">
        <f t="shared" si="83"/>
        <v>0.5</v>
      </c>
      <c r="AC119" s="2812">
        <f t="shared" si="84"/>
        <v>0</v>
      </c>
      <c r="AD119" s="2811">
        <f t="shared" si="85"/>
        <v>0</v>
      </c>
      <c r="AE119" s="2811">
        <f t="shared" si="86"/>
        <v>0</v>
      </c>
      <c r="AG119" s="1937" t="s">
        <v>1407</v>
      </c>
      <c r="AH119" s="1941" t="s">
        <v>165</v>
      </c>
      <c r="AI119" s="1988" t="s">
        <v>1408</v>
      </c>
      <c r="AJ119" s="1989">
        <v>0.5</v>
      </c>
      <c r="AK119" s="1989">
        <v>0.5</v>
      </c>
      <c r="AL119" s="1989">
        <v>0.5</v>
      </c>
      <c r="AM119" s="1989">
        <v>0.5</v>
      </c>
      <c r="AN119" s="1989">
        <v>0.5</v>
      </c>
      <c r="AO119" s="1989">
        <v>0.5</v>
      </c>
      <c r="AP119" s="1989">
        <v>0.5</v>
      </c>
      <c r="AQ119" s="1989">
        <v>0.5</v>
      </c>
      <c r="AR119" s="1989">
        <v>0.5</v>
      </c>
      <c r="AS119" s="1990">
        <v>0.5</v>
      </c>
      <c r="AT119" s="1991">
        <v>0</v>
      </c>
      <c r="AU119" s="1990">
        <v>0</v>
      </c>
      <c r="AV119" s="1990">
        <v>0</v>
      </c>
      <c r="AX119" s="1937" t="s">
        <v>1407</v>
      </c>
      <c r="AY119" s="1941" t="s">
        <v>165</v>
      </c>
      <c r="AZ119" s="1988" t="s">
        <v>1408</v>
      </c>
      <c r="BA119" s="1990">
        <v>0.5</v>
      </c>
      <c r="BB119" s="1990">
        <v>0.5</v>
      </c>
      <c r="BC119" s="1990">
        <v>0.5</v>
      </c>
      <c r="BD119" s="1990">
        <v>0.5</v>
      </c>
      <c r="BE119" s="1990">
        <v>0.5</v>
      </c>
      <c r="BF119" s="1990">
        <v>0.5</v>
      </c>
      <c r="BG119" s="1990">
        <v>0.5</v>
      </c>
      <c r="BH119" s="1990">
        <v>0.5</v>
      </c>
      <c r="BI119" s="1990">
        <v>0.5</v>
      </c>
      <c r="BJ119" s="1990">
        <v>0.5</v>
      </c>
      <c r="BK119" s="1991"/>
      <c r="BL119" s="1990"/>
      <c r="BM119" s="1990"/>
      <c r="BO119" s="1937" t="s">
        <v>1407</v>
      </c>
      <c r="BP119" s="1941" t="s">
        <v>165</v>
      </c>
      <c r="BQ119" s="1988" t="s">
        <v>1408</v>
      </c>
      <c r="BR119" s="1990">
        <v>0.5</v>
      </c>
      <c r="BS119" s="1990">
        <v>0.5</v>
      </c>
      <c r="BT119" s="1990">
        <v>0.5</v>
      </c>
      <c r="BU119" s="1990">
        <v>0.5</v>
      </c>
      <c r="BV119" s="1990">
        <v>0.5</v>
      </c>
      <c r="BW119" s="1990">
        <v>0.5</v>
      </c>
      <c r="BX119" s="1990">
        <v>0.5</v>
      </c>
      <c r="BY119" s="1990">
        <v>0.5</v>
      </c>
      <c r="BZ119" s="1990">
        <v>0.5</v>
      </c>
      <c r="CA119" s="1990">
        <v>0.5</v>
      </c>
      <c r="CB119" s="1991"/>
      <c r="CC119" s="1990"/>
      <c r="CD119" s="1990"/>
      <c r="CE119" s="2275"/>
      <c r="CG119" s="1937" t="s">
        <v>1407</v>
      </c>
      <c r="CH119" s="1941" t="s">
        <v>165</v>
      </c>
      <c r="CI119" s="1988" t="s">
        <v>1408</v>
      </c>
      <c r="CJ119" s="2721">
        <f t="shared" si="114"/>
        <v>0.5</v>
      </c>
      <c r="CK119" s="2721">
        <f t="shared" si="102"/>
        <v>0.5</v>
      </c>
      <c r="CL119" s="2721">
        <f t="shared" si="103"/>
        <v>0.5</v>
      </c>
      <c r="CM119" s="2721">
        <f t="shared" si="104"/>
        <v>0.5</v>
      </c>
      <c r="CN119" s="2721">
        <f t="shared" si="105"/>
        <v>0.5</v>
      </c>
      <c r="CO119" s="2721">
        <f t="shared" si="106"/>
        <v>0.5</v>
      </c>
      <c r="CP119" s="2721">
        <f t="shared" si="107"/>
        <v>0.5</v>
      </c>
      <c r="CQ119" s="2721">
        <f t="shared" si="108"/>
        <v>0.5</v>
      </c>
      <c r="CR119" s="2721">
        <f t="shared" si="109"/>
        <v>0.5</v>
      </c>
      <c r="CS119" s="2721">
        <f t="shared" si="110"/>
        <v>0.5</v>
      </c>
      <c r="CT119" s="2722">
        <f t="shared" si="111"/>
        <v>0</v>
      </c>
      <c r="CU119" s="2721">
        <f t="shared" si="112"/>
        <v>0</v>
      </c>
      <c r="CV119" s="2721">
        <f t="shared" si="113"/>
        <v>0</v>
      </c>
      <c r="CX119" s="1937" t="s">
        <v>1407</v>
      </c>
      <c r="CY119" s="1941" t="s">
        <v>165</v>
      </c>
      <c r="CZ119" s="1988" t="s">
        <v>1408</v>
      </c>
      <c r="DA119" s="2935">
        <v>0</v>
      </c>
      <c r="DB119" s="2698"/>
      <c r="DC119" s="2698"/>
      <c r="DD119" s="2698"/>
      <c r="DE119" s="2698"/>
      <c r="DF119" s="2698"/>
      <c r="DG119" s="2698"/>
      <c r="DH119" s="2698"/>
      <c r="DI119" s="2698"/>
      <c r="DJ119" s="2698"/>
      <c r="DK119" s="2915"/>
      <c r="DL119" s="2698"/>
      <c r="DM119" s="2698"/>
    </row>
    <row r="120" spans="1:117" hidden="1">
      <c r="B120" s="1916">
        <f t="shared" si="125"/>
        <v>0</v>
      </c>
      <c r="C120" s="1928">
        <f t="shared" si="93"/>
        <v>0</v>
      </c>
      <c r="D120" s="1924"/>
      <c r="E120" s="1925"/>
      <c r="G120" s="1925" t="e">
        <f t="shared" si="122"/>
        <v>#DIV/0!</v>
      </c>
      <c r="H120" s="1925">
        <f t="shared" si="123"/>
        <v>0</v>
      </c>
      <c r="I120" s="1925"/>
      <c r="J120" s="1925"/>
      <c r="K120" s="1925"/>
      <c r="L120" s="1925"/>
      <c r="M120" s="1925" t="e">
        <f t="shared" si="124"/>
        <v>#DIV/0!</v>
      </c>
      <c r="N120" s="1925"/>
      <c r="P120" s="1927">
        <f t="shared" si="94"/>
        <v>0</v>
      </c>
      <c r="Q120" s="1927" t="str">
        <f t="shared" si="95"/>
        <v xml:space="preserve"> Q</v>
      </c>
      <c r="R120" s="1928">
        <f t="shared" si="96"/>
        <v>0</v>
      </c>
      <c r="S120" s="2796">
        <f t="shared" si="74"/>
        <v>0</v>
      </c>
      <c r="T120" s="2796">
        <f t="shared" si="75"/>
        <v>0</v>
      </c>
      <c r="U120" s="2796">
        <f t="shared" si="76"/>
        <v>0</v>
      </c>
      <c r="V120" s="2796">
        <f t="shared" si="77"/>
        <v>0</v>
      </c>
      <c r="W120" s="2796">
        <f t="shared" si="78"/>
        <v>0</v>
      </c>
      <c r="X120" s="2796">
        <f t="shared" si="79"/>
        <v>0</v>
      </c>
      <c r="Y120" s="2796">
        <f t="shared" si="80"/>
        <v>0</v>
      </c>
      <c r="Z120" s="2810">
        <f t="shared" si="81"/>
        <v>0</v>
      </c>
      <c r="AA120" s="2796">
        <f t="shared" si="82"/>
        <v>0</v>
      </c>
      <c r="AB120" s="2796">
        <f t="shared" si="83"/>
        <v>0</v>
      </c>
      <c r="AC120" s="2798">
        <f t="shared" si="84"/>
        <v>0</v>
      </c>
      <c r="AD120" s="2796">
        <f t="shared" si="85"/>
        <v>0</v>
      </c>
      <c r="AE120" s="2796">
        <f t="shared" si="86"/>
        <v>0</v>
      </c>
      <c r="AG120" s="1927"/>
      <c r="AH120" s="1931" t="s">
        <v>952</v>
      </c>
      <c r="AI120" s="1953"/>
      <c r="AJ120" s="1932">
        <v>0</v>
      </c>
      <c r="AK120" s="1932">
        <v>0</v>
      </c>
      <c r="AL120" s="1932">
        <v>0</v>
      </c>
      <c r="AM120" s="1932">
        <v>0</v>
      </c>
      <c r="AN120" s="1932">
        <v>0</v>
      </c>
      <c r="AO120" s="1932">
        <v>0</v>
      </c>
      <c r="AP120" s="1932">
        <v>0</v>
      </c>
      <c r="AQ120" s="1985">
        <v>0</v>
      </c>
      <c r="AR120" s="1932">
        <v>0</v>
      </c>
      <c r="AS120" s="1932">
        <v>0</v>
      </c>
      <c r="AT120" s="1933">
        <v>0</v>
      </c>
      <c r="AU120" s="1932">
        <v>0</v>
      </c>
      <c r="AV120" s="1932">
        <v>0</v>
      </c>
      <c r="AX120" s="1927"/>
      <c r="AY120" s="1931" t="s">
        <v>952</v>
      </c>
      <c r="AZ120" s="1953"/>
      <c r="BA120" s="1932"/>
      <c r="BB120" s="1932"/>
      <c r="BC120" s="1932"/>
      <c r="BD120" s="1932"/>
      <c r="BE120" s="1932"/>
      <c r="BF120" s="1932"/>
      <c r="BG120" s="1932"/>
      <c r="BH120" s="1985"/>
      <c r="BI120" s="1932"/>
      <c r="BJ120" s="1932"/>
      <c r="BK120" s="1933"/>
      <c r="BL120" s="1932"/>
      <c r="BM120" s="1932"/>
      <c r="BO120" s="1927"/>
      <c r="BP120" s="1931" t="s">
        <v>952</v>
      </c>
      <c r="BQ120" s="1953"/>
      <c r="BR120" s="1932"/>
      <c r="BS120" s="1932"/>
      <c r="BT120" s="1932"/>
      <c r="BU120" s="1932"/>
      <c r="BV120" s="1932"/>
      <c r="BW120" s="1932"/>
      <c r="BX120" s="1932"/>
      <c r="BY120" s="1985"/>
      <c r="BZ120" s="1932"/>
      <c r="CA120" s="1932"/>
      <c r="CB120" s="1933"/>
      <c r="CC120" s="1932"/>
      <c r="CD120" s="1932"/>
      <c r="CE120" s="2271"/>
      <c r="CG120" s="1927"/>
      <c r="CH120" s="1931" t="s">
        <v>952</v>
      </c>
      <c r="CI120" s="1953"/>
      <c r="CJ120" s="2703">
        <f t="shared" si="114"/>
        <v>0</v>
      </c>
      <c r="CK120" s="2703">
        <f t="shared" si="102"/>
        <v>0</v>
      </c>
      <c r="CL120" s="2703">
        <f t="shared" si="103"/>
        <v>0</v>
      </c>
      <c r="CM120" s="2703">
        <f t="shared" si="104"/>
        <v>0</v>
      </c>
      <c r="CN120" s="2703">
        <f t="shared" si="105"/>
        <v>0</v>
      </c>
      <c r="CO120" s="2703">
        <f t="shared" si="106"/>
        <v>0</v>
      </c>
      <c r="CP120" s="2703">
        <f t="shared" si="107"/>
        <v>0</v>
      </c>
      <c r="CQ120" s="2720">
        <f t="shared" si="108"/>
        <v>0</v>
      </c>
      <c r="CR120" s="2703">
        <f t="shared" si="109"/>
        <v>0</v>
      </c>
      <c r="CS120" s="2703">
        <f t="shared" si="110"/>
        <v>0</v>
      </c>
      <c r="CT120" s="2705">
        <f t="shared" si="111"/>
        <v>0</v>
      </c>
      <c r="CU120" s="2703">
        <f t="shared" si="112"/>
        <v>0</v>
      </c>
      <c r="CV120" s="2703">
        <f t="shared" si="113"/>
        <v>0</v>
      </c>
      <c r="CX120" s="1927"/>
      <c r="CY120" s="1931" t="s">
        <v>952</v>
      </c>
      <c r="CZ120" s="1953"/>
      <c r="DA120" s="2693">
        <f t="shared" si="115"/>
        <v>0</v>
      </c>
      <c r="DB120" s="2693"/>
      <c r="DC120" s="2693"/>
      <c r="DD120" s="2693"/>
      <c r="DE120" s="2693"/>
      <c r="DF120" s="2693"/>
      <c r="DG120" s="2693"/>
      <c r="DH120" s="2914"/>
      <c r="DI120" s="2693"/>
      <c r="DJ120" s="2693"/>
      <c r="DK120" s="2694"/>
      <c r="DL120" s="2693"/>
      <c r="DM120" s="2693"/>
    </row>
    <row r="121" spans="1:117" ht="14">
      <c r="B121" s="1992" t="str">
        <f t="shared" si="125"/>
        <v>LR</v>
      </c>
      <c r="C121" s="2998" t="str">
        <f t="shared" si="93"/>
        <v>建築物の環境負荷低減性</v>
      </c>
      <c r="D121" s="1908"/>
      <c r="E121" s="1909"/>
      <c r="G121" s="1909" t="e">
        <f t="shared" si="122"/>
        <v>#DIV/0!</v>
      </c>
      <c r="H121" s="1909" t="e">
        <f t="shared" si="123"/>
        <v>#DIV/0!</v>
      </c>
      <c r="I121" s="1909" t="e">
        <f>G122+G145+G172</f>
        <v>#DIV/0!</v>
      </c>
      <c r="J121" s="1909" t="e">
        <f>H122+H145+H172</f>
        <v>#DIV/0!</v>
      </c>
      <c r="K121" s="1909" t="e">
        <f>IF(スコア!T121=0,0,1)</f>
        <v>#DIV/0!</v>
      </c>
      <c r="L121" s="1909">
        <f>IF(スコア!R121=0,0,1)</f>
        <v>0</v>
      </c>
      <c r="M121" s="1909" t="e">
        <f t="shared" si="124"/>
        <v>#DIV/0!</v>
      </c>
      <c r="N121" s="1909" t="e">
        <f t="shared" ref="N121:N156" si="132">(AC$7*AC121)+(AD$7*AD121)+(AE$7*AE121)</f>
        <v>#DIV/0!</v>
      </c>
      <c r="P121" s="1910" t="str">
        <f t="shared" si="94"/>
        <v>LR</v>
      </c>
      <c r="Q121" s="1910" t="str">
        <f t="shared" si="95"/>
        <v xml:space="preserve"> </v>
      </c>
      <c r="R121" s="1993" t="str">
        <f t="shared" si="96"/>
        <v>建築物の環境負荷低減性</v>
      </c>
      <c r="S121" s="1912">
        <f t="shared" si="74"/>
        <v>0</v>
      </c>
      <c r="T121" s="1912">
        <f t="shared" si="75"/>
        <v>0</v>
      </c>
      <c r="U121" s="1912">
        <f t="shared" si="76"/>
        <v>0</v>
      </c>
      <c r="V121" s="1912">
        <f t="shared" si="77"/>
        <v>0</v>
      </c>
      <c r="W121" s="1912">
        <f t="shared" si="78"/>
        <v>0</v>
      </c>
      <c r="X121" s="1912">
        <f t="shared" si="79"/>
        <v>0</v>
      </c>
      <c r="Y121" s="1912">
        <f t="shared" si="80"/>
        <v>0</v>
      </c>
      <c r="Z121" s="1913">
        <f t="shared" si="81"/>
        <v>0</v>
      </c>
      <c r="AA121" s="1912">
        <f t="shared" si="82"/>
        <v>0</v>
      </c>
      <c r="AB121" s="1912">
        <f t="shared" si="83"/>
        <v>0</v>
      </c>
      <c r="AC121" s="2813">
        <f t="shared" si="84"/>
        <v>0</v>
      </c>
      <c r="AD121" s="2814">
        <f t="shared" si="85"/>
        <v>0</v>
      </c>
      <c r="AE121" s="2814">
        <f t="shared" si="86"/>
        <v>0</v>
      </c>
      <c r="AG121" s="1910" t="s">
        <v>1409</v>
      </c>
      <c r="AH121" s="1906" t="s">
        <v>166</v>
      </c>
      <c r="AI121" s="1907" t="s">
        <v>167</v>
      </c>
      <c r="AJ121" s="1912">
        <v>0</v>
      </c>
      <c r="AK121" s="1912">
        <v>0</v>
      </c>
      <c r="AL121" s="1912">
        <v>0</v>
      </c>
      <c r="AM121" s="1912">
        <v>0</v>
      </c>
      <c r="AN121" s="1912">
        <v>0</v>
      </c>
      <c r="AO121" s="1912">
        <v>0</v>
      </c>
      <c r="AP121" s="1912">
        <v>0</v>
      </c>
      <c r="AQ121" s="1913">
        <v>0</v>
      </c>
      <c r="AR121" s="1912">
        <v>0</v>
      </c>
      <c r="AS121" s="1912">
        <v>0</v>
      </c>
      <c r="AT121" s="1914">
        <v>0</v>
      </c>
      <c r="AU121" s="1915">
        <v>0</v>
      </c>
      <c r="AV121" s="1915">
        <v>0</v>
      </c>
      <c r="AX121" s="1910" t="s">
        <v>1410</v>
      </c>
      <c r="AY121" s="1906" t="s">
        <v>166</v>
      </c>
      <c r="AZ121" s="1907" t="s">
        <v>167</v>
      </c>
      <c r="BA121" s="1912"/>
      <c r="BB121" s="1912"/>
      <c r="BC121" s="1912"/>
      <c r="BD121" s="1912"/>
      <c r="BE121" s="1912"/>
      <c r="BF121" s="1912"/>
      <c r="BG121" s="1912"/>
      <c r="BH121" s="1913"/>
      <c r="BI121" s="1912"/>
      <c r="BJ121" s="1912"/>
      <c r="BK121" s="1914"/>
      <c r="BL121" s="1915"/>
      <c r="BM121" s="1915"/>
      <c r="BO121" s="1910" t="s">
        <v>1410</v>
      </c>
      <c r="BP121" s="1906" t="s">
        <v>166</v>
      </c>
      <c r="BQ121" s="1907" t="s">
        <v>167</v>
      </c>
      <c r="BR121" s="1912"/>
      <c r="BS121" s="1912"/>
      <c r="BT121" s="1912"/>
      <c r="BU121" s="1912"/>
      <c r="BV121" s="1912"/>
      <c r="BW121" s="1912"/>
      <c r="BX121" s="1912"/>
      <c r="BY121" s="1913"/>
      <c r="BZ121" s="1912"/>
      <c r="CA121" s="1912"/>
      <c r="CB121" s="1914"/>
      <c r="CC121" s="1915"/>
      <c r="CD121" s="1915"/>
      <c r="CE121" s="2269"/>
      <c r="CG121" s="1910" t="s">
        <v>1409</v>
      </c>
      <c r="CH121" s="1906" t="s">
        <v>166</v>
      </c>
      <c r="CI121" s="1907" t="s">
        <v>167</v>
      </c>
      <c r="CJ121" s="2723">
        <f t="shared" si="114"/>
        <v>0</v>
      </c>
      <c r="CK121" s="2723">
        <f t="shared" si="102"/>
        <v>0</v>
      </c>
      <c r="CL121" s="2723">
        <f t="shared" si="103"/>
        <v>0</v>
      </c>
      <c r="CM121" s="2723">
        <f t="shared" si="104"/>
        <v>0</v>
      </c>
      <c r="CN121" s="2723">
        <f t="shared" si="105"/>
        <v>0</v>
      </c>
      <c r="CO121" s="2723">
        <f t="shared" si="106"/>
        <v>0</v>
      </c>
      <c r="CP121" s="2723">
        <f t="shared" si="107"/>
        <v>0</v>
      </c>
      <c r="CQ121" s="2724">
        <f t="shared" si="108"/>
        <v>0</v>
      </c>
      <c r="CR121" s="2723">
        <f t="shared" si="109"/>
        <v>0</v>
      </c>
      <c r="CS121" s="2723">
        <f t="shared" si="110"/>
        <v>0</v>
      </c>
      <c r="CT121" s="2725">
        <f t="shared" si="111"/>
        <v>0</v>
      </c>
      <c r="CU121" s="2726">
        <f t="shared" si="112"/>
        <v>0</v>
      </c>
      <c r="CV121" s="2726">
        <f t="shared" si="113"/>
        <v>0</v>
      </c>
      <c r="CX121" s="1910" t="s">
        <v>1409</v>
      </c>
      <c r="CY121" s="1906" t="s">
        <v>166</v>
      </c>
      <c r="CZ121" s="1907" t="s">
        <v>167</v>
      </c>
      <c r="DA121" s="2916">
        <f t="shared" si="115"/>
        <v>0</v>
      </c>
      <c r="DB121" s="2916"/>
      <c r="DC121" s="2916"/>
      <c r="DD121" s="2916"/>
      <c r="DE121" s="2916"/>
      <c r="DF121" s="2916"/>
      <c r="DG121" s="2916"/>
      <c r="DH121" s="2917"/>
      <c r="DI121" s="2916"/>
      <c r="DJ121" s="2916"/>
      <c r="DK121" s="2918"/>
      <c r="DL121" s="2919"/>
      <c r="DM121" s="2919"/>
    </row>
    <row r="122" spans="1:117">
      <c r="B122" s="1916" t="str">
        <f t="shared" si="125"/>
        <v>LR1</v>
      </c>
      <c r="C122" s="1919" t="str">
        <f t="shared" si="93"/>
        <v>エネルギー</v>
      </c>
      <c r="D122" s="1994" t="e">
        <f>IF(I$121=0,0,G122/I$121)</f>
        <v>#DIV/0!</v>
      </c>
      <c r="E122" s="1918" t="e">
        <f>IF(J$121=0,0,H122/J$121)</f>
        <v>#DIV/0!</v>
      </c>
      <c r="G122" s="1918" t="e">
        <f t="shared" si="122"/>
        <v>#DIV/0!</v>
      </c>
      <c r="H122" s="1918" t="e">
        <f t="shared" si="123"/>
        <v>#DIV/0!</v>
      </c>
      <c r="I122" s="1918" t="e">
        <f>G123+G124+G129+G138</f>
        <v>#DIV/0!</v>
      </c>
      <c r="J122" s="1918" t="e">
        <f>H123+H124+H129+H138</f>
        <v>#DIV/0!</v>
      </c>
      <c r="K122" s="1918" t="e">
        <f>IF(スコア!T122=0,0,1)</f>
        <v>#DIV/0!</v>
      </c>
      <c r="L122" s="1918">
        <f>IF(スコア!R122=0,0,1)</f>
        <v>0</v>
      </c>
      <c r="M122" s="1918" t="e">
        <f t="shared" si="124"/>
        <v>#DIV/0!</v>
      </c>
      <c r="N122" s="1918" t="e">
        <f t="shared" si="132"/>
        <v>#DIV/0!</v>
      </c>
      <c r="P122" s="1916" t="str">
        <f t="shared" si="94"/>
        <v>LR1</v>
      </c>
      <c r="Q122" s="1916" t="str">
        <f t="shared" si="95"/>
        <v>LR</v>
      </c>
      <c r="R122" s="1919" t="str">
        <f t="shared" si="96"/>
        <v>エネルギー</v>
      </c>
      <c r="S122" s="2793">
        <f t="shared" si="74"/>
        <v>0.4</v>
      </c>
      <c r="T122" s="2793">
        <f t="shared" si="75"/>
        <v>0.4</v>
      </c>
      <c r="U122" s="2793">
        <f t="shared" si="76"/>
        <v>0.4</v>
      </c>
      <c r="V122" s="2793">
        <f t="shared" si="77"/>
        <v>0.4</v>
      </c>
      <c r="W122" s="2793">
        <f t="shared" si="78"/>
        <v>0.4</v>
      </c>
      <c r="X122" s="2793">
        <f t="shared" si="79"/>
        <v>0.4</v>
      </c>
      <c r="Y122" s="2793">
        <f t="shared" si="80"/>
        <v>0.4</v>
      </c>
      <c r="Z122" s="2793">
        <f t="shared" si="81"/>
        <v>0.4</v>
      </c>
      <c r="AA122" s="2793">
        <f t="shared" si="82"/>
        <v>0.4</v>
      </c>
      <c r="AB122" s="2793">
        <f t="shared" si="83"/>
        <v>0.4</v>
      </c>
      <c r="AC122" s="2795">
        <f t="shared" si="84"/>
        <v>0</v>
      </c>
      <c r="AD122" s="2793">
        <f t="shared" si="85"/>
        <v>0</v>
      </c>
      <c r="AE122" s="2793">
        <f t="shared" si="86"/>
        <v>0</v>
      </c>
      <c r="AG122" s="1916" t="s">
        <v>1411</v>
      </c>
      <c r="AH122" s="1921" t="s">
        <v>1412</v>
      </c>
      <c r="AI122" s="1919" t="s">
        <v>1413</v>
      </c>
      <c r="AJ122" s="1922">
        <v>0.4</v>
      </c>
      <c r="AK122" s="1922">
        <v>0.4</v>
      </c>
      <c r="AL122" s="1922">
        <v>0.4</v>
      </c>
      <c r="AM122" s="1922">
        <v>0.4</v>
      </c>
      <c r="AN122" s="1922">
        <v>0.4</v>
      </c>
      <c r="AO122" s="1922">
        <v>0.4</v>
      </c>
      <c r="AP122" s="1922">
        <v>0.4</v>
      </c>
      <c r="AQ122" s="1922">
        <v>0.4</v>
      </c>
      <c r="AR122" s="1922">
        <v>0.4</v>
      </c>
      <c r="AS122" s="1922">
        <v>0.4</v>
      </c>
      <c r="AT122" s="1923"/>
      <c r="AU122" s="1922"/>
      <c r="AV122" s="1922"/>
      <c r="AX122" s="1916" t="s">
        <v>1411</v>
      </c>
      <c r="AY122" s="1921" t="s">
        <v>1412</v>
      </c>
      <c r="AZ122" s="1919" t="s">
        <v>1413</v>
      </c>
      <c r="BA122" s="1922">
        <v>0.4</v>
      </c>
      <c r="BB122" s="1922">
        <v>0.4</v>
      </c>
      <c r="BC122" s="1922">
        <v>0.4</v>
      </c>
      <c r="BD122" s="1922">
        <v>0.4</v>
      </c>
      <c r="BE122" s="1922">
        <v>0.4</v>
      </c>
      <c r="BF122" s="1922">
        <v>0.4</v>
      </c>
      <c r="BG122" s="1922">
        <v>0.4</v>
      </c>
      <c r="BH122" s="1922">
        <v>0.4</v>
      </c>
      <c r="BI122" s="1922">
        <v>0.4</v>
      </c>
      <c r="BJ122" s="1922">
        <v>0.4</v>
      </c>
      <c r="BK122" s="1923"/>
      <c r="BL122" s="1922"/>
      <c r="BM122" s="1922"/>
      <c r="BO122" s="1916" t="s">
        <v>1411</v>
      </c>
      <c r="BP122" s="1921" t="s">
        <v>1412</v>
      </c>
      <c r="BQ122" s="1919" t="s">
        <v>1413</v>
      </c>
      <c r="BR122" s="1922">
        <v>0.4</v>
      </c>
      <c r="BS122" s="1922">
        <v>0.4</v>
      </c>
      <c r="BT122" s="1922">
        <v>0.4</v>
      </c>
      <c r="BU122" s="1922">
        <v>0.4</v>
      </c>
      <c r="BV122" s="1922">
        <v>0.4</v>
      </c>
      <c r="BW122" s="1922">
        <v>0.4</v>
      </c>
      <c r="BX122" s="1922">
        <v>0.4</v>
      </c>
      <c r="BY122" s="1922">
        <v>0.4</v>
      </c>
      <c r="BZ122" s="3051">
        <v>0.4</v>
      </c>
      <c r="CA122" s="1922">
        <v>0.4</v>
      </c>
      <c r="CB122" s="1923"/>
      <c r="CC122" s="1922"/>
      <c r="CD122" s="1922"/>
      <c r="CE122" s="2270"/>
      <c r="CG122" s="1916" t="s">
        <v>1262</v>
      </c>
      <c r="CH122" s="1921" t="s">
        <v>1412</v>
      </c>
      <c r="CI122" s="1919" t="s">
        <v>1263</v>
      </c>
      <c r="CJ122" s="2691">
        <v>0.2</v>
      </c>
      <c r="CK122" s="2691">
        <v>0.2</v>
      </c>
      <c r="CL122" s="2691">
        <v>0.2</v>
      </c>
      <c r="CM122" s="2691">
        <v>0.2</v>
      </c>
      <c r="CN122" s="2691">
        <v>0.2</v>
      </c>
      <c r="CO122" s="2691">
        <v>0.2</v>
      </c>
      <c r="CP122" s="2691">
        <v>0.2</v>
      </c>
      <c r="CQ122" s="2691">
        <v>0.2</v>
      </c>
      <c r="CR122" s="2691">
        <v>0.2</v>
      </c>
      <c r="CS122" s="2691">
        <v>0.2</v>
      </c>
      <c r="CT122" s="2692">
        <f t="shared" si="111"/>
        <v>0</v>
      </c>
      <c r="CU122" s="2691">
        <f t="shared" si="112"/>
        <v>0</v>
      </c>
      <c r="CV122" s="2691">
        <f t="shared" si="113"/>
        <v>0</v>
      </c>
      <c r="CX122" s="1916" t="s">
        <v>1262</v>
      </c>
      <c r="CY122" s="1921" t="s">
        <v>1412</v>
      </c>
      <c r="CZ122" s="1919" t="s">
        <v>1263</v>
      </c>
      <c r="DA122" s="2923">
        <v>0.55000000000000004</v>
      </c>
      <c r="DB122" s="2691"/>
      <c r="DC122" s="2691"/>
      <c r="DD122" s="2691"/>
      <c r="DE122" s="2691"/>
      <c r="DF122" s="2691"/>
      <c r="DG122" s="2691"/>
      <c r="DH122" s="2691"/>
      <c r="DI122" s="2691"/>
      <c r="DJ122" s="2691"/>
      <c r="DK122" s="2692"/>
      <c r="DL122" s="2691"/>
      <c r="DM122" s="2691"/>
    </row>
    <row r="123" spans="1:117">
      <c r="B123" s="1916">
        <f t="shared" si="125"/>
        <v>1</v>
      </c>
      <c r="C123" s="1928" t="str">
        <f t="shared" si="93"/>
        <v>建物外皮の熱負荷抑制</v>
      </c>
      <c r="D123" s="1924" t="e">
        <f>IF(I$122=0,0,G123/I$122)</f>
        <v>#DIV/0!</v>
      </c>
      <c r="E123" s="1925" t="e">
        <f>IF(J$122=0,0,H123/J$122)</f>
        <v>#DIV/0!</v>
      </c>
      <c r="G123" s="1925" t="e">
        <f t="shared" si="122"/>
        <v>#DIV/0!</v>
      </c>
      <c r="H123" s="1925" t="e">
        <f t="shared" si="123"/>
        <v>#DIV/0!</v>
      </c>
      <c r="I123" s="1925"/>
      <c r="J123" s="1925"/>
      <c r="K123" s="1925">
        <f>IF(スコア!O123=0,0,1)</f>
        <v>0</v>
      </c>
      <c r="L123" s="1925">
        <f>IF(スコア!R123=0,0,1)</f>
        <v>0</v>
      </c>
      <c r="M123" s="1925" t="e">
        <f t="shared" si="124"/>
        <v>#DIV/0!</v>
      </c>
      <c r="N123" s="1925" t="e">
        <f t="shared" si="132"/>
        <v>#DIV/0!</v>
      </c>
      <c r="P123" s="1995">
        <f t="shared" si="94"/>
        <v>1</v>
      </c>
      <c r="Q123" s="1927" t="str">
        <f t="shared" si="95"/>
        <v>LR1</v>
      </c>
      <c r="R123" s="1928" t="str">
        <f t="shared" si="96"/>
        <v>建物外皮の熱負荷抑制</v>
      </c>
      <c r="S123" s="2808">
        <f t="shared" si="74"/>
        <v>0.2</v>
      </c>
      <c r="T123" s="2808">
        <f t="shared" si="75"/>
        <v>0.2</v>
      </c>
      <c r="U123" s="2808">
        <f t="shared" si="76"/>
        <v>0.2</v>
      </c>
      <c r="V123" s="2808">
        <f t="shared" si="77"/>
        <v>0.2</v>
      </c>
      <c r="W123" s="2808">
        <f t="shared" si="78"/>
        <v>0.2</v>
      </c>
      <c r="X123" s="2808">
        <f t="shared" si="79"/>
        <v>0.2</v>
      </c>
      <c r="Y123" s="2808">
        <f t="shared" si="80"/>
        <v>0.2</v>
      </c>
      <c r="Z123" s="2797">
        <f t="shared" si="81"/>
        <v>0.2</v>
      </c>
      <c r="AA123" s="2808">
        <f t="shared" si="82"/>
        <v>0.2</v>
      </c>
      <c r="AB123" s="2808">
        <f t="shared" si="83"/>
        <v>0.2</v>
      </c>
      <c r="AC123" s="2798">
        <f t="shared" si="84"/>
        <v>0</v>
      </c>
      <c r="AD123" s="2796">
        <f t="shared" si="85"/>
        <v>0</v>
      </c>
      <c r="AE123" s="2796">
        <f t="shared" si="86"/>
        <v>0</v>
      </c>
      <c r="AG123" s="1995">
        <v>1</v>
      </c>
      <c r="AH123" s="1931" t="s">
        <v>1779</v>
      </c>
      <c r="AI123" s="1928" t="s">
        <v>2182</v>
      </c>
      <c r="AJ123" s="1980">
        <v>0.2</v>
      </c>
      <c r="AK123" s="1980">
        <v>0.2</v>
      </c>
      <c r="AL123" s="1980">
        <v>0.2</v>
      </c>
      <c r="AM123" s="1980">
        <v>0.2</v>
      </c>
      <c r="AN123" s="1980">
        <v>0.2</v>
      </c>
      <c r="AO123" s="1980">
        <v>0.2</v>
      </c>
      <c r="AP123" s="1980">
        <v>0.2</v>
      </c>
      <c r="AQ123" s="1980">
        <v>0.2</v>
      </c>
      <c r="AR123" s="1980"/>
      <c r="AS123" s="1980">
        <v>0.2</v>
      </c>
      <c r="AT123" s="1933"/>
      <c r="AU123" s="1932"/>
      <c r="AV123" s="1932"/>
      <c r="AX123" s="1995">
        <v>1</v>
      </c>
      <c r="AY123" s="1931" t="s">
        <v>1779</v>
      </c>
      <c r="AZ123" s="1928" t="s">
        <v>2182</v>
      </c>
      <c r="BA123" s="1980">
        <v>0.2</v>
      </c>
      <c r="BB123" s="1980">
        <v>0.2</v>
      </c>
      <c r="BC123" s="1980">
        <v>0.2</v>
      </c>
      <c r="BD123" s="1980">
        <v>0.2</v>
      </c>
      <c r="BE123" s="1980">
        <v>0.2</v>
      </c>
      <c r="BF123" s="1980">
        <v>0.2</v>
      </c>
      <c r="BG123" s="1980">
        <v>0.2</v>
      </c>
      <c r="BH123" s="1980">
        <v>0.2</v>
      </c>
      <c r="BI123" s="1980">
        <v>0.2</v>
      </c>
      <c r="BJ123" s="1980">
        <v>0.2</v>
      </c>
      <c r="BK123" s="1933"/>
      <c r="BL123" s="1932"/>
      <c r="BM123" s="1932"/>
      <c r="BO123" s="1995">
        <v>1</v>
      </c>
      <c r="BP123" s="1931" t="s">
        <v>1779</v>
      </c>
      <c r="BQ123" s="1928" t="s">
        <v>2182</v>
      </c>
      <c r="BR123" s="1980">
        <v>0.2</v>
      </c>
      <c r="BS123" s="1980">
        <v>0.2</v>
      </c>
      <c r="BT123" s="1980">
        <v>0.2</v>
      </c>
      <c r="BU123" s="1980">
        <v>0.2</v>
      </c>
      <c r="BV123" s="1980">
        <v>0.2</v>
      </c>
      <c r="BW123" s="1980">
        <v>0.2</v>
      </c>
      <c r="BX123" s="1980">
        <v>0.2</v>
      </c>
      <c r="BY123" s="1980">
        <v>0.2</v>
      </c>
      <c r="BZ123" s="3051">
        <v>0.2</v>
      </c>
      <c r="CA123" s="1980">
        <v>0.2</v>
      </c>
      <c r="CB123" s="1933"/>
      <c r="CC123" s="1932"/>
      <c r="CD123" s="1932"/>
      <c r="CE123" s="2271"/>
      <c r="CG123" s="1995">
        <v>1</v>
      </c>
      <c r="CH123" s="1931" t="s">
        <v>1779</v>
      </c>
      <c r="CI123" s="1928" t="s">
        <v>2182</v>
      </c>
      <c r="CJ123" s="2716">
        <f t="shared" si="114"/>
        <v>0.2</v>
      </c>
      <c r="CK123" s="2716">
        <f t="shared" si="102"/>
        <v>0.2</v>
      </c>
      <c r="CL123" s="2716">
        <f t="shared" si="103"/>
        <v>0.2</v>
      </c>
      <c r="CM123" s="2716">
        <f t="shared" si="104"/>
        <v>0.2</v>
      </c>
      <c r="CN123" s="2716">
        <f t="shared" si="105"/>
        <v>0.2</v>
      </c>
      <c r="CO123" s="2716">
        <f t="shared" si="106"/>
        <v>0.2</v>
      </c>
      <c r="CP123" s="2716">
        <f t="shared" si="107"/>
        <v>0.2</v>
      </c>
      <c r="CQ123" s="2716">
        <f t="shared" si="108"/>
        <v>0.2</v>
      </c>
      <c r="CR123" s="2716">
        <f t="shared" si="109"/>
        <v>0.2</v>
      </c>
      <c r="CS123" s="2716">
        <f t="shared" si="110"/>
        <v>0.2</v>
      </c>
      <c r="CT123" s="2705">
        <f t="shared" si="111"/>
        <v>0</v>
      </c>
      <c r="CU123" s="2703">
        <f t="shared" si="112"/>
        <v>0</v>
      </c>
      <c r="CV123" s="2703">
        <f t="shared" si="113"/>
        <v>0</v>
      </c>
      <c r="CX123" s="1995">
        <v>1</v>
      </c>
      <c r="CY123" s="1931" t="s">
        <v>1779</v>
      </c>
      <c r="CZ123" s="1928" t="s">
        <v>2182</v>
      </c>
      <c r="DA123" s="2696">
        <f t="shared" si="115"/>
        <v>0.2</v>
      </c>
      <c r="DB123" s="2696"/>
      <c r="DC123" s="2696"/>
      <c r="DD123" s="2696"/>
      <c r="DE123" s="2696"/>
      <c r="DF123" s="2696"/>
      <c r="DG123" s="2696"/>
      <c r="DH123" s="2696"/>
      <c r="DI123" s="2696"/>
      <c r="DJ123" s="2696"/>
      <c r="DK123" s="2694"/>
      <c r="DL123" s="2693"/>
      <c r="DM123" s="2693"/>
    </row>
    <row r="124" spans="1:117">
      <c r="B124" s="1916">
        <f t="shared" si="125"/>
        <v>2</v>
      </c>
      <c r="C124" s="1928" t="str">
        <f t="shared" si="93"/>
        <v>自然エネルギー利用</v>
      </c>
      <c r="D124" s="1924" t="e">
        <f>IF(I$122=0,0,G124/I$122)</f>
        <v>#DIV/0!</v>
      </c>
      <c r="E124" s="1925" t="e">
        <f>IF(J$122=0,0,H124/J$122)</f>
        <v>#DIV/0!</v>
      </c>
      <c r="G124" s="1925" t="e">
        <f>K124*M124</f>
        <v>#DIV/0!</v>
      </c>
      <c r="H124" s="1925" t="e">
        <f t="shared" si="123"/>
        <v>#DIV/0!</v>
      </c>
      <c r="I124" s="1996" t="e">
        <f>SUM(G125:G126)</f>
        <v>#DIV/0!</v>
      </c>
      <c r="J124" s="1996" t="e">
        <f>SUM(H125:H126)</f>
        <v>#DIV/0!</v>
      </c>
      <c r="K124" s="1925">
        <f>IF(スコア!O124=0,0,1)</f>
        <v>0</v>
      </c>
      <c r="L124" s="1925">
        <f>IF(スコア!R124=0,0,1)</f>
        <v>0</v>
      </c>
      <c r="M124" s="1925" t="e">
        <f t="shared" si="124"/>
        <v>#DIV/0!</v>
      </c>
      <c r="N124" s="1925" t="e">
        <f t="shared" si="132"/>
        <v>#DIV/0!</v>
      </c>
      <c r="P124" s="1927">
        <f t="shared" si="94"/>
        <v>2</v>
      </c>
      <c r="Q124" s="1927" t="str">
        <f t="shared" si="95"/>
        <v>LR1</v>
      </c>
      <c r="R124" s="1928" t="str">
        <f t="shared" si="96"/>
        <v>自然エネルギー利用</v>
      </c>
      <c r="S124" s="2808">
        <f t="shared" si="74"/>
        <v>0.1</v>
      </c>
      <c r="T124" s="2808">
        <f t="shared" si="75"/>
        <v>0.1</v>
      </c>
      <c r="U124" s="2808">
        <f t="shared" si="76"/>
        <v>0.1</v>
      </c>
      <c r="V124" s="2808">
        <f t="shared" si="77"/>
        <v>0.1</v>
      </c>
      <c r="W124" s="2808">
        <f t="shared" si="78"/>
        <v>0.1</v>
      </c>
      <c r="X124" s="2808">
        <f t="shared" si="79"/>
        <v>0.1</v>
      </c>
      <c r="Y124" s="2808">
        <f t="shared" si="80"/>
        <v>0.1</v>
      </c>
      <c r="Z124" s="2797">
        <f t="shared" si="81"/>
        <v>0.1</v>
      </c>
      <c r="AA124" s="2808">
        <f t="shared" si="82"/>
        <v>0.1</v>
      </c>
      <c r="AB124" s="2808">
        <f t="shared" si="83"/>
        <v>0.1</v>
      </c>
      <c r="AC124" s="2798">
        <f t="shared" si="84"/>
        <v>0</v>
      </c>
      <c r="AD124" s="2796">
        <f t="shared" si="85"/>
        <v>0</v>
      </c>
      <c r="AE124" s="2796">
        <f t="shared" si="86"/>
        <v>0</v>
      </c>
      <c r="AG124" s="1927">
        <v>2</v>
      </c>
      <c r="AH124" s="1931" t="s">
        <v>1779</v>
      </c>
      <c r="AI124" s="1928" t="s">
        <v>1264</v>
      </c>
      <c r="AJ124" s="1980">
        <v>0.1</v>
      </c>
      <c r="AK124" s="1980">
        <v>0.1</v>
      </c>
      <c r="AL124" s="1980">
        <v>0.1</v>
      </c>
      <c r="AM124" s="1980">
        <v>0.1</v>
      </c>
      <c r="AN124" s="1980">
        <v>0.1</v>
      </c>
      <c r="AO124" s="1980">
        <v>0.1</v>
      </c>
      <c r="AP124" s="1980">
        <v>0.1</v>
      </c>
      <c r="AQ124" s="1980">
        <v>0.1</v>
      </c>
      <c r="AR124" s="2124">
        <v>0.125</v>
      </c>
      <c r="AS124" s="1980">
        <v>0.1</v>
      </c>
      <c r="AT124" s="1933"/>
      <c r="AU124" s="1932"/>
      <c r="AV124" s="1932"/>
      <c r="AX124" s="1927">
        <v>2</v>
      </c>
      <c r="AY124" s="1931" t="s">
        <v>1779</v>
      </c>
      <c r="AZ124" s="1928" t="s">
        <v>1264</v>
      </c>
      <c r="BA124" s="1980">
        <v>0.1</v>
      </c>
      <c r="BB124" s="1980">
        <v>0.1</v>
      </c>
      <c r="BC124" s="1980">
        <v>0.1</v>
      </c>
      <c r="BD124" s="1980">
        <v>0.1</v>
      </c>
      <c r="BE124" s="1980">
        <v>0.1</v>
      </c>
      <c r="BF124" s="1980">
        <v>0.1</v>
      </c>
      <c r="BG124" s="1980">
        <v>0.1</v>
      </c>
      <c r="BH124" s="1980">
        <v>0.1</v>
      </c>
      <c r="BI124" s="1980">
        <v>0.1</v>
      </c>
      <c r="BJ124" s="1980">
        <v>0.1</v>
      </c>
      <c r="BK124" s="1933"/>
      <c r="BL124" s="1932"/>
      <c r="BM124" s="1932"/>
      <c r="BO124" s="1927">
        <v>2</v>
      </c>
      <c r="BP124" s="1931" t="s">
        <v>1779</v>
      </c>
      <c r="BQ124" s="1928" t="s">
        <v>1264</v>
      </c>
      <c r="BR124" s="1980">
        <v>0.1</v>
      </c>
      <c r="BS124" s="1980">
        <v>0.1</v>
      </c>
      <c r="BT124" s="1980">
        <v>0.1</v>
      </c>
      <c r="BU124" s="1980">
        <v>0.1</v>
      </c>
      <c r="BV124" s="1980">
        <v>0.1</v>
      </c>
      <c r="BW124" s="1980">
        <v>0.1</v>
      </c>
      <c r="BX124" s="1980">
        <v>0.1</v>
      </c>
      <c r="BY124" s="1980">
        <v>0.1</v>
      </c>
      <c r="BZ124" s="3051">
        <v>0.1</v>
      </c>
      <c r="CA124" s="1980">
        <v>0.1</v>
      </c>
      <c r="CB124" s="1933"/>
      <c r="CC124" s="1932"/>
      <c r="CD124" s="1932"/>
      <c r="CE124" s="2271"/>
      <c r="CG124" s="1927">
        <v>2</v>
      </c>
      <c r="CH124" s="1931" t="s">
        <v>1779</v>
      </c>
      <c r="CI124" s="1928" t="s">
        <v>1264</v>
      </c>
      <c r="CJ124" s="2716">
        <f t="shared" si="114"/>
        <v>0.1</v>
      </c>
      <c r="CK124" s="2716">
        <f t="shared" si="102"/>
        <v>0.1</v>
      </c>
      <c r="CL124" s="2716">
        <f t="shared" si="103"/>
        <v>0.1</v>
      </c>
      <c r="CM124" s="2716">
        <f t="shared" si="104"/>
        <v>0.1</v>
      </c>
      <c r="CN124" s="2716">
        <f t="shared" si="105"/>
        <v>0.1</v>
      </c>
      <c r="CO124" s="2716">
        <f t="shared" si="106"/>
        <v>0.1</v>
      </c>
      <c r="CP124" s="2716">
        <f t="shared" si="107"/>
        <v>0.1</v>
      </c>
      <c r="CQ124" s="2716">
        <f t="shared" si="108"/>
        <v>0.1</v>
      </c>
      <c r="CR124" s="2716">
        <f t="shared" si="109"/>
        <v>0.1</v>
      </c>
      <c r="CS124" s="2716">
        <f t="shared" si="110"/>
        <v>0.1</v>
      </c>
      <c r="CT124" s="2705">
        <f t="shared" si="111"/>
        <v>0</v>
      </c>
      <c r="CU124" s="2703">
        <f t="shared" si="112"/>
        <v>0</v>
      </c>
      <c r="CV124" s="2703">
        <f t="shared" si="113"/>
        <v>0</v>
      </c>
      <c r="CX124" s="1927">
        <v>2</v>
      </c>
      <c r="CY124" s="1931" t="s">
        <v>1779</v>
      </c>
      <c r="CZ124" s="1928" t="s">
        <v>1264</v>
      </c>
      <c r="DA124" s="2696">
        <f t="shared" si="115"/>
        <v>0.1</v>
      </c>
      <c r="DB124" s="2696"/>
      <c r="DC124" s="2696"/>
      <c r="DD124" s="2696"/>
      <c r="DE124" s="2696"/>
      <c r="DF124" s="2696"/>
      <c r="DG124" s="2696"/>
      <c r="DH124" s="2696"/>
      <c r="DI124" s="2696"/>
      <c r="DJ124" s="2696"/>
      <c r="DK124" s="2694"/>
      <c r="DL124" s="2693"/>
      <c r="DM124" s="2693"/>
    </row>
    <row r="125" spans="1:117" hidden="1">
      <c r="B125" s="1916">
        <f t="shared" si="125"/>
        <v>0</v>
      </c>
      <c r="C125" s="1928">
        <f t="shared" si="93"/>
        <v>0</v>
      </c>
      <c r="D125" s="1935" t="e">
        <f>IF(I$124=0,0,G125/I$124)</f>
        <v>#DIV/0!</v>
      </c>
      <c r="E125" s="1935" t="e">
        <f>IF(J$124=0,0,H125/J$124)</f>
        <v>#DIV/0!</v>
      </c>
      <c r="G125" s="1925" t="e">
        <f t="shared" si="122"/>
        <v>#DIV/0!</v>
      </c>
      <c r="H125" s="1925" t="e">
        <f t="shared" si="123"/>
        <v>#DIV/0!</v>
      </c>
      <c r="I125" s="1925"/>
      <c r="J125" s="1925"/>
      <c r="K125" s="1936">
        <f>IF(スコア!O125=0,0,1)</f>
        <v>0</v>
      </c>
      <c r="L125" s="1936">
        <f>IF(スコア!R125=0,0,1)</f>
        <v>0</v>
      </c>
      <c r="M125" s="1936" t="e">
        <f t="shared" si="124"/>
        <v>#DIV/0!</v>
      </c>
      <c r="N125" s="1936" t="e">
        <f t="shared" si="132"/>
        <v>#DIV/0!</v>
      </c>
      <c r="P125" s="1927">
        <f t="shared" si="94"/>
        <v>0</v>
      </c>
      <c r="Q125" s="1927" t="str">
        <f t="shared" si="95"/>
        <v>LR</v>
      </c>
      <c r="R125" s="1928">
        <f t="shared" si="96"/>
        <v>0</v>
      </c>
      <c r="S125" s="2799">
        <f t="shared" si="74"/>
        <v>0</v>
      </c>
      <c r="T125" s="2799">
        <f t="shared" si="75"/>
        <v>0</v>
      </c>
      <c r="U125" s="2799">
        <f t="shared" si="76"/>
        <v>0</v>
      </c>
      <c r="V125" s="2799">
        <f t="shared" si="77"/>
        <v>0</v>
      </c>
      <c r="W125" s="2799">
        <f t="shared" si="78"/>
        <v>0</v>
      </c>
      <c r="X125" s="2799">
        <f t="shared" si="79"/>
        <v>0</v>
      </c>
      <c r="Y125" s="2799">
        <f t="shared" si="80"/>
        <v>0</v>
      </c>
      <c r="Z125" s="2801">
        <f t="shared" si="81"/>
        <v>0</v>
      </c>
      <c r="AA125" s="2799">
        <f t="shared" si="82"/>
        <v>0</v>
      </c>
      <c r="AB125" s="2799">
        <f t="shared" si="83"/>
        <v>0</v>
      </c>
      <c r="AC125" s="2798">
        <f t="shared" si="84"/>
        <v>0</v>
      </c>
      <c r="AD125" s="2796">
        <f t="shared" si="85"/>
        <v>0</v>
      </c>
      <c r="AE125" s="2796">
        <f t="shared" si="86"/>
        <v>0</v>
      </c>
      <c r="AG125" s="1927"/>
      <c r="AH125" s="1931" t="s">
        <v>168</v>
      </c>
      <c r="AI125" s="1928" t="s">
        <v>1265</v>
      </c>
      <c r="AJ125" s="1980"/>
      <c r="AK125" s="1980"/>
      <c r="AL125" s="1980"/>
      <c r="AM125" s="1980"/>
      <c r="AN125" s="1980"/>
      <c r="AO125" s="1980"/>
      <c r="AP125" s="1980"/>
      <c r="AQ125" s="1980"/>
      <c r="AR125" s="1980"/>
      <c r="AS125" s="1980"/>
      <c r="AT125" s="1933"/>
      <c r="AU125" s="1932"/>
      <c r="AV125" s="1932"/>
      <c r="AX125" s="1927"/>
      <c r="AY125" s="1931" t="s">
        <v>168</v>
      </c>
      <c r="AZ125" s="1928" t="s">
        <v>1016</v>
      </c>
      <c r="BA125" s="1980"/>
      <c r="BB125" s="1980"/>
      <c r="BC125" s="1980"/>
      <c r="BD125" s="1980"/>
      <c r="BE125" s="1980"/>
      <c r="BF125" s="1980"/>
      <c r="BG125" s="1980"/>
      <c r="BH125" s="1980"/>
      <c r="BI125" s="1980"/>
      <c r="BJ125" s="1980"/>
      <c r="BK125" s="1933"/>
      <c r="BL125" s="1932"/>
      <c r="BM125" s="1932"/>
      <c r="BO125" s="1927"/>
      <c r="BP125" s="1931" t="s">
        <v>168</v>
      </c>
      <c r="BQ125" s="1928"/>
      <c r="BR125" s="1980"/>
      <c r="BS125" s="1980"/>
      <c r="BT125" s="1980"/>
      <c r="BU125" s="1980"/>
      <c r="BV125" s="1980"/>
      <c r="BW125" s="1980"/>
      <c r="BX125" s="1980"/>
      <c r="BY125" s="1980"/>
      <c r="BZ125" s="3051"/>
      <c r="CA125" s="1980"/>
      <c r="CB125" s="1933"/>
      <c r="CC125" s="1932"/>
      <c r="CD125" s="1932"/>
      <c r="CE125" s="2271"/>
      <c r="CG125" s="1927"/>
      <c r="CH125" s="1931" t="s">
        <v>168</v>
      </c>
      <c r="CI125" s="1928"/>
      <c r="CJ125" s="2716">
        <f t="shared" si="114"/>
        <v>0</v>
      </c>
      <c r="CK125" s="2716">
        <f t="shared" si="102"/>
        <v>0</v>
      </c>
      <c r="CL125" s="2716">
        <f t="shared" si="103"/>
        <v>0</v>
      </c>
      <c r="CM125" s="2716">
        <f t="shared" si="104"/>
        <v>0</v>
      </c>
      <c r="CN125" s="2716">
        <f t="shared" si="105"/>
        <v>0</v>
      </c>
      <c r="CO125" s="2716">
        <f t="shared" si="106"/>
        <v>0</v>
      </c>
      <c r="CP125" s="2716">
        <f t="shared" si="107"/>
        <v>0</v>
      </c>
      <c r="CQ125" s="2716">
        <f t="shared" si="108"/>
        <v>0</v>
      </c>
      <c r="CR125" s="2716">
        <f t="shared" si="109"/>
        <v>0</v>
      </c>
      <c r="CS125" s="2716">
        <f t="shared" si="110"/>
        <v>0</v>
      </c>
      <c r="CT125" s="2705">
        <f t="shared" si="111"/>
        <v>0</v>
      </c>
      <c r="CU125" s="2703">
        <f t="shared" si="112"/>
        <v>0</v>
      </c>
      <c r="CV125" s="2703">
        <f t="shared" si="113"/>
        <v>0</v>
      </c>
      <c r="CX125" s="1927"/>
      <c r="CY125" s="1931" t="s">
        <v>168</v>
      </c>
      <c r="CZ125" s="1928"/>
      <c r="DA125" s="2696">
        <f t="shared" si="115"/>
        <v>0</v>
      </c>
      <c r="DB125" s="2696"/>
      <c r="DC125" s="2696"/>
      <c r="DD125" s="2696"/>
      <c r="DE125" s="2696"/>
      <c r="DF125" s="2696"/>
      <c r="DG125" s="2696"/>
      <c r="DH125" s="2696"/>
      <c r="DI125" s="2696"/>
      <c r="DJ125" s="2696"/>
      <c r="DK125" s="2694"/>
      <c r="DL125" s="2693"/>
      <c r="DM125" s="2693"/>
    </row>
    <row r="126" spans="1:117" hidden="1">
      <c r="B126" s="1916">
        <f t="shared" si="125"/>
        <v>0</v>
      </c>
      <c r="C126" s="1928">
        <f t="shared" si="93"/>
        <v>0</v>
      </c>
      <c r="D126" s="1935" t="e">
        <f>IF(I$124=0,0,G126/I$124)</f>
        <v>#DIV/0!</v>
      </c>
      <c r="E126" s="1935" t="e">
        <f>IF(J$124=0,0,H126/J$124)</f>
        <v>#DIV/0!</v>
      </c>
      <c r="G126" s="1925" t="e">
        <f t="shared" si="122"/>
        <v>#DIV/0!</v>
      </c>
      <c r="H126" s="1925" t="e">
        <f t="shared" si="123"/>
        <v>#DIV/0!</v>
      </c>
      <c r="I126" s="1996" t="e">
        <f>SUM(G127:G128)</f>
        <v>#DIV/0!</v>
      </c>
      <c r="J126" s="1996" t="e">
        <f>SUM(H127:H128)</f>
        <v>#DIV/0!</v>
      </c>
      <c r="K126" s="1936">
        <f>IF(スコア!O126=0,0,1)</f>
        <v>0</v>
      </c>
      <c r="L126" s="1936">
        <f>IF(スコア!R126=0,0,1)</f>
        <v>0</v>
      </c>
      <c r="M126" s="1936" t="e">
        <f t="shared" si="124"/>
        <v>#DIV/0!</v>
      </c>
      <c r="N126" s="1936" t="e">
        <f t="shared" si="132"/>
        <v>#DIV/0!</v>
      </c>
      <c r="P126" s="1927">
        <f t="shared" si="94"/>
        <v>0</v>
      </c>
      <c r="Q126" s="1927" t="str">
        <f t="shared" si="95"/>
        <v>LR</v>
      </c>
      <c r="R126" s="1928">
        <f t="shared" si="96"/>
        <v>0</v>
      </c>
      <c r="S126" s="2799">
        <f t="shared" si="74"/>
        <v>0</v>
      </c>
      <c r="T126" s="2799">
        <f t="shared" si="75"/>
        <v>0</v>
      </c>
      <c r="U126" s="2799">
        <f t="shared" si="76"/>
        <v>0</v>
      </c>
      <c r="V126" s="2799">
        <f t="shared" si="77"/>
        <v>0</v>
      </c>
      <c r="W126" s="2799">
        <f t="shared" si="78"/>
        <v>0</v>
      </c>
      <c r="X126" s="2799">
        <f t="shared" si="79"/>
        <v>0</v>
      </c>
      <c r="Y126" s="2799">
        <f t="shared" si="80"/>
        <v>0</v>
      </c>
      <c r="Z126" s="2801">
        <f t="shared" si="81"/>
        <v>0</v>
      </c>
      <c r="AA126" s="2799">
        <f t="shared" si="82"/>
        <v>0</v>
      </c>
      <c r="AB126" s="2799">
        <f t="shared" si="83"/>
        <v>0</v>
      </c>
      <c r="AC126" s="2798">
        <f t="shared" si="84"/>
        <v>0</v>
      </c>
      <c r="AD126" s="2796">
        <f t="shared" si="85"/>
        <v>0</v>
      </c>
      <c r="AE126" s="2796">
        <f t="shared" si="86"/>
        <v>0</v>
      </c>
      <c r="AG126" s="1927"/>
      <c r="AH126" s="1931" t="s">
        <v>168</v>
      </c>
      <c r="AI126" s="1928" t="s">
        <v>1266</v>
      </c>
      <c r="AJ126" s="1980"/>
      <c r="AK126" s="1980"/>
      <c r="AL126" s="1980"/>
      <c r="AM126" s="1980"/>
      <c r="AN126" s="1980"/>
      <c r="AO126" s="1980"/>
      <c r="AP126" s="1980"/>
      <c r="AQ126" s="1980"/>
      <c r="AR126" s="1980"/>
      <c r="AS126" s="1980"/>
      <c r="AT126" s="1933"/>
      <c r="AU126" s="1932"/>
      <c r="AV126" s="1932"/>
      <c r="AX126" s="1927"/>
      <c r="AY126" s="1931" t="s">
        <v>168</v>
      </c>
      <c r="AZ126" s="1928" t="s">
        <v>1015</v>
      </c>
      <c r="BA126" s="1980">
        <v>1</v>
      </c>
      <c r="BB126" s="1980">
        <v>1</v>
      </c>
      <c r="BC126" s="1980">
        <v>1</v>
      </c>
      <c r="BD126" s="1980">
        <v>1</v>
      </c>
      <c r="BE126" s="1980">
        <v>1</v>
      </c>
      <c r="BF126" s="1980">
        <v>1</v>
      </c>
      <c r="BG126" s="1980">
        <v>1</v>
      </c>
      <c r="BH126" s="1980">
        <v>1</v>
      </c>
      <c r="BI126" s="1980">
        <v>1</v>
      </c>
      <c r="BJ126" s="1980">
        <v>1</v>
      </c>
      <c r="BK126" s="1933"/>
      <c r="BL126" s="1932"/>
      <c r="BM126" s="1932"/>
      <c r="BO126" s="1927"/>
      <c r="BP126" s="1931" t="s">
        <v>168</v>
      </c>
      <c r="BQ126" s="1928"/>
      <c r="BR126" s="1980"/>
      <c r="BS126" s="1980"/>
      <c r="BT126" s="1980"/>
      <c r="BU126" s="1980"/>
      <c r="BV126" s="1980"/>
      <c r="BW126" s="1980"/>
      <c r="BX126" s="1980"/>
      <c r="BY126" s="1980"/>
      <c r="BZ126" s="3051"/>
      <c r="CA126" s="1980"/>
      <c r="CB126" s="1933"/>
      <c r="CC126" s="1932"/>
      <c r="CD126" s="1932"/>
      <c r="CE126" s="2271"/>
      <c r="CG126" s="1927"/>
      <c r="CH126" s="1931" t="s">
        <v>168</v>
      </c>
      <c r="CI126" s="1928"/>
      <c r="CJ126" s="2716">
        <f t="shared" si="114"/>
        <v>0</v>
      </c>
      <c r="CK126" s="2716">
        <f t="shared" si="102"/>
        <v>0</v>
      </c>
      <c r="CL126" s="2716">
        <f t="shared" si="103"/>
        <v>0</v>
      </c>
      <c r="CM126" s="2716">
        <f t="shared" si="104"/>
        <v>0</v>
      </c>
      <c r="CN126" s="2716">
        <f t="shared" si="105"/>
        <v>0</v>
      </c>
      <c r="CO126" s="2716">
        <f t="shared" si="106"/>
        <v>0</v>
      </c>
      <c r="CP126" s="2716">
        <f t="shared" si="107"/>
        <v>0</v>
      </c>
      <c r="CQ126" s="2716">
        <f t="shared" si="108"/>
        <v>0</v>
      </c>
      <c r="CR126" s="2716">
        <f t="shared" si="109"/>
        <v>0</v>
      </c>
      <c r="CS126" s="2716">
        <f t="shared" si="110"/>
        <v>0</v>
      </c>
      <c r="CT126" s="2705">
        <f t="shared" si="111"/>
        <v>0</v>
      </c>
      <c r="CU126" s="2703">
        <f t="shared" si="112"/>
        <v>0</v>
      </c>
      <c r="CV126" s="2703">
        <f t="shared" si="113"/>
        <v>0</v>
      </c>
      <c r="CX126" s="1927"/>
      <c r="CY126" s="1931" t="s">
        <v>168</v>
      </c>
      <c r="CZ126" s="1928"/>
      <c r="DA126" s="2696">
        <f t="shared" si="115"/>
        <v>0</v>
      </c>
      <c r="DB126" s="2696"/>
      <c r="DC126" s="2696"/>
      <c r="DD126" s="2696"/>
      <c r="DE126" s="2696"/>
      <c r="DF126" s="2696"/>
      <c r="DG126" s="2696"/>
      <c r="DH126" s="2696"/>
      <c r="DI126" s="2696"/>
      <c r="DJ126" s="2696"/>
      <c r="DK126" s="2694"/>
      <c r="DL126" s="2693"/>
      <c r="DM126" s="2693"/>
    </row>
    <row r="127" spans="1:117" hidden="1">
      <c r="B127" s="1916" t="str">
        <f t="shared" si="125"/>
        <v>2.1</v>
      </c>
      <c r="C127" s="1938">
        <f t="shared" si="93"/>
        <v>0</v>
      </c>
      <c r="D127" s="1935" t="e">
        <f>IF(I$126=0,0,G127/I$126)</f>
        <v>#DIV/0!</v>
      </c>
      <c r="E127" s="1935" t="e">
        <f>IF(J$126=0,0,H127/J$126)</f>
        <v>#DIV/0!</v>
      </c>
      <c r="G127" s="1936" t="e">
        <f t="shared" si="122"/>
        <v>#DIV/0!</v>
      </c>
      <c r="H127" s="1936" t="e">
        <f t="shared" si="123"/>
        <v>#DIV/0!</v>
      </c>
      <c r="I127" s="1936"/>
      <c r="J127" s="1936"/>
      <c r="K127" s="1936">
        <f>IF(スコア!O127=0,0,1)</f>
        <v>0</v>
      </c>
      <c r="L127" s="1936">
        <f>IF(スコア!R127=0,0,1)</f>
        <v>0</v>
      </c>
      <c r="M127" s="1936" t="e">
        <f t="shared" si="124"/>
        <v>#DIV/0!</v>
      </c>
      <c r="N127" s="1936" t="e">
        <f t="shared" si="132"/>
        <v>#DIV/0!</v>
      </c>
      <c r="P127" s="1937" t="str">
        <f t="shared" si="94"/>
        <v>2.1</v>
      </c>
      <c r="Q127" s="1937" t="str">
        <f t="shared" si="95"/>
        <v>LR1 2</v>
      </c>
      <c r="R127" s="1938">
        <f t="shared" si="96"/>
        <v>0</v>
      </c>
      <c r="S127" s="2799">
        <f t="shared" si="74"/>
        <v>0</v>
      </c>
      <c r="T127" s="2799">
        <f t="shared" si="75"/>
        <v>0</v>
      </c>
      <c r="U127" s="2799">
        <f t="shared" si="76"/>
        <v>0</v>
      </c>
      <c r="V127" s="2799">
        <f t="shared" si="77"/>
        <v>0</v>
      </c>
      <c r="W127" s="2799">
        <f t="shared" si="78"/>
        <v>0</v>
      </c>
      <c r="X127" s="2799">
        <f t="shared" si="79"/>
        <v>0</v>
      </c>
      <c r="Y127" s="2799">
        <f t="shared" si="80"/>
        <v>0</v>
      </c>
      <c r="Z127" s="2801">
        <f t="shared" si="81"/>
        <v>0</v>
      </c>
      <c r="AA127" s="2799">
        <f t="shared" si="82"/>
        <v>0</v>
      </c>
      <c r="AB127" s="2799">
        <f t="shared" si="83"/>
        <v>0</v>
      </c>
      <c r="AC127" s="2812">
        <f t="shared" si="84"/>
        <v>0</v>
      </c>
      <c r="AD127" s="2811">
        <f t="shared" si="85"/>
        <v>0</v>
      </c>
      <c r="AE127" s="2811">
        <f t="shared" si="86"/>
        <v>0</v>
      </c>
      <c r="AG127" s="1937" t="s">
        <v>1414</v>
      </c>
      <c r="AH127" s="1941" t="s">
        <v>169</v>
      </c>
      <c r="AI127" s="1938" t="s">
        <v>1267</v>
      </c>
      <c r="AJ127" s="1944"/>
      <c r="AK127" s="1944"/>
      <c r="AL127" s="1944"/>
      <c r="AM127" s="1944"/>
      <c r="AN127" s="1944"/>
      <c r="AO127" s="1944"/>
      <c r="AP127" s="1944"/>
      <c r="AQ127" s="1944"/>
      <c r="AR127" s="1944"/>
      <c r="AS127" s="1944"/>
      <c r="AT127" s="1991"/>
      <c r="AU127" s="1990"/>
      <c r="AV127" s="1990"/>
      <c r="AX127" s="1937" t="s">
        <v>1414</v>
      </c>
      <c r="AY127" s="1941" t="s">
        <v>169</v>
      </c>
      <c r="AZ127" s="1938" t="s">
        <v>1267</v>
      </c>
      <c r="BA127" s="1944"/>
      <c r="BB127" s="1944"/>
      <c r="BC127" s="1944"/>
      <c r="BD127" s="1944"/>
      <c r="BE127" s="1944"/>
      <c r="BF127" s="1944"/>
      <c r="BG127" s="1944"/>
      <c r="BH127" s="1944"/>
      <c r="BI127" s="1944"/>
      <c r="BJ127" s="1944"/>
      <c r="BK127" s="1991"/>
      <c r="BL127" s="1990"/>
      <c r="BM127" s="1990"/>
      <c r="BO127" s="1937" t="s">
        <v>1414</v>
      </c>
      <c r="BP127" s="1941" t="s">
        <v>169</v>
      </c>
      <c r="BQ127" s="1938"/>
      <c r="BR127" s="1944"/>
      <c r="BS127" s="1944"/>
      <c r="BT127" s="1944"/>
      <c r="BU127" s="1944"/>
      <c r="BV127" s="1944"/>
      <c r="BW127" s="1944"/>
      <c r="BX127" s="1944"/>
      <c r="BY127" s="1944"/>
      <c r="BZ127" s="3052"/>
      <c r="CA127" s="1944"/>
      <c r="CB127" s="1991"/>
      <c r="CC127" s="1990"/>
      <c r="CD127" s="1990"/>
      <c r="CE127" s="2275"/>
      <c r="CG127" s="1937" t="s">
        <v>1414</v>
      </c>
      <c r="CH127" s="1941" t="s">
        <v>169</v>
      </c>
      <c r="CI127" s="1938"/>
      <c r="CJ127" s="2706">
        <f t="shared" si="114"/>
        <v>0</v>
      </c>
      <c r="CK127" s="2706">
        <f t="shared" si="102"/>
        <v>0</v>
      </c>
      <c r="CL127" s="2706">
        <f t="shared" si="103"/>
        <v>0</v>
      </c>
      <c r="CM127" s="2706">
        <f t="shared" si="104"/>
        <v>0</v>
      </c>
      <c r="CN127" s="2706">
        <f t="shared" si="105"/>
        <v>0</v>
      </c>
      <c r="CO127" s="2706">
        <f t="shared" si="106"/>
        <v>0</v>
      </c>
      <c r="CP127" s="2706">
        <f t="shared" si="107"/>
        <v>0</v>
      </c>
      <c r="CQ127" s="2706">
        <f t="shared" si="108"/>
        <v>0</v>
      </c>
      <c r="CR127" s="2706">
        <f t="shared" si="109"/>
        <v>0</v>
      </c>
      <c r="CS127" s="2706">
        <f t="shared" si="110"/>
        <v>0</v>
      </c>
      <c r="CT127" s="2722">
        <f t="shared" si="111"/>
        <v>0</v>
      </c>
      <c r="CU127" s="2721">
        <f t="shared" si="112"/>
        <v>0</v>
      </c>
      <c r="CV127" s="2721">
        <f t="shared" si="113"/>
        <v>0</v>
      </c>
      <c r="CX127" s="1937" t="s">
        <v>1414</v>
      </c>
      <c r="CY127" s="1941" t="s">
        <v>169</v>
      </c>
      <c r="CZ127" s="1938"/>
      <c r="DA127" s="2695">
        <f t="shared" si="115"/>
        <v>0</v>
      </c>
      <c r="DB127" s="2695"/>
      <c r="DC127" s="2695"/>
      <c r="DD127" s="2695"/>
      <c r="DE127" s="2695"/>
      <c r="DF127" s="2695"/>
      <c r="DG127" s="2695"/>
      <c r="DH127" s="2695"/>
      <c r="DI127" s="2695"/>
      <c r="DJ127" s="2695"/>
      <c r="DK127" s="2915"/>
      <c r="DL127" s="2698"/>
      <c r="DM127" s="2698"/>
    </row>
    <row r="128" spans="1:117" hidden="1">
      <c r="B128" s="1916" t="str">
        <f t="shared" si="125"/>
        <v>2.2</v>
      </c>
      <c r="C128" s="1938">
        <f t="shared" si="93"/>
        <v>0</v>
      </c>
      <c r="D128" s="1935" t="e">
        <f>IF(I$126=0,0,G128/I$126)</f>
        <v>#DIV/0!</v>
      </c>
      <c r="E128" s="1935" t="e">
        <f>IF(J$126=0,0,H128/J$126)</f>
        <v>#DIV/0!</v>
      </c>
      <c r="G128" s="1936" t="e">
        <f t="shared" si="122"/>
        <v>#DIV/0!</v>
      </c>
      <c r="H128" s="1936" t="e">
        <f t="shared" si="123"/>
        <v>#DIV/0!</v>
      </c>
      <c r="I128" s="1936"/>
      <c r="J128" s="1936"/>
      <c r="K128" s="1936">
        <f>IF(スコア!O128=0,0,1)</f>
        <v>0</v>
      </c>
      <c r="L128" s="1936">
        <f>IF(スコア!R128=0,0,1)</f>
        <v>0</v>
      </c>
      <c r="M128" s="1936" t="e">
        <f t="shared" si="124"/>
        <v>#DIV/0!</v>
      </c>
      <c r="N128" s="1936" t="e">
        <f t="shared" si="132"/>
        <v>#DIV/0!</v>
      </c>
      <c r="P128" s="1937" t="str">
        <f t="shared" si="94"/>
        <v>2.2</v>
      </c>
      <c r="Q128" s="1937" t="str">
        <f t="shared" si="95"/>
        <v>LR1 2</v>
      </c>
      <c r="R128" s="1938">
        <f t="shared" si="96"/>
        <v>0</v>
      </c>
      <c r="S128" s="2799">
        <f t="shared" ref="S128:S191" si="133">IF($P$3=1,BA128,IF($P$3=2,BR128,IF($P$3=3,CJ128,IF($P$3=4,DA128,AJ128))))</f>
        <v>0</v>
      </c>
      <c r="T128" s="2799">
        <f t="shared" ref="T128:T191" si="134">IF($P$3=1,BB128,IF($P$3=2,BS128,IF($P$3=3,CK128,IF($P$3=4,DB128,AK128))))</f>
        <v>0</v>
      </c>
      <c r="U128" s="2799">
        <f t="shared" ref="U128:U191" si="135">IF($P$3=1,BC128,IF($P$3=2,BT128,IF($P$3=3,CL128,IF($P$3=4,DC128,AL128))))</f>
        <v>0</v>
      </c>
      <c r="V128" s="2799">
        <f t="shared" ref="V128:V191" si="136">IF($P$3=1,BD128,IF($P$3=2,BU128,IF($P$3=3,CM128,IF($P$3=4,DD128,AM128))))</f>
        <v>0</v>
      </c>
      <c r="W128" s="2799">
        <f t="shared" ref="W128:W191" si="137">IF($P$3=1,BE128,IF($P$3=2,BV128,IF($P$3=3,CN128,IF($P$3=4,DE128,AN128))))</f>
        <v>0</v>
      </c>
      <c r="X128" s="2799">
        <f t="shared" ref="X128:X191" si="138">IF($P$3=1,BF128,IF($P$3=2,BW128,IF($P$3=3,CO128,IF($P$3=4,DF128,AO128))))</f>
        <v>0</v>
      </c>
      <c r="Y128" s="2799">
        <f t="shared" ref="Y128:Y191" si="139">IF($P$3=1,BG128,IF($P$3=2,BX128,IF($P$3=3,CP128,IF($P$3=4,DG128,AP128))))</f>
        <v>0</v>
      </c>
      <c r="Z128" s="2801">
        <f t="shared" ref="Z128:Z191" si="140">IF($P$3=1,BH128,IF($P$3=2,BY128,IF($P$3=3,CQ128,IF($P$3=4,DH128,AQ128))))</f>
        <v>0</v>
      </c>
      <c r="AA128" s="2799">
        <f t="shared" ref="AA128:AA191" si="141">IF($P$3=1,BI128,IF($P$3=2,BZ128,IF($P$3=3,CR128,IF($P$3=4,DI128,AR128))))</f>
        <v>0</v>
      </c>
      <c r="AB128" s="2799">
        <f t="shared" ref="AB128:AB191" si="142">IF($P$3=1,BJ128,IF($P$3=2,CA128,IF($P$3=3,CS128,IF($P$3=4,DJ128,AS128))))</f>
        <v>0</v>
      </c>
      <c r="AC128" s="2812">
        <f t="shared" ref="AC128:AC191" si="143">IF($P$3=1,BK128,IF($P$3=2,CB128,IF($P$3=3,CT128,IF($P$3=4,DK128,AT128))))</f>
        <v>0</v>
      </c>
      <c r="AD128" s="2811">
        <f t="shared" ref="AD128:AD191" si="144">IF($P$3=1,BL128,IF($P$3=2,CC128,IF($P$3=3,CU128,IF($P$3=4,DL128,AU128))))</f>
        <v>0</v>
      </c>
      <c r="AE128" s="2811">
        <f t="shared" ref="AE128:AE191" si="145">IF($P$3=1,BM128,IF($P$3=2,CD128,IF($P$3=3,CV128,IF($P$3=4,DM128,AV128))))</f>
        <v>0</v>
      </c>
      <c r="AG128" s="1937" t="s">
        <v>1415</v>
      </c>
      <c r="AH128" s="1941" t="s">
        <v>169</v>
      </c>
      <c r="AI128" s="1938" t="s">
        <v>1268</v>
      </c>
      <c r="AJ128" s="1944"/>
      <c r="AK128" s="1944"/>
      <c r="AL128" s="1944"/>
      <c r="AM128" s="1944"/>
      <c r="AN128" s="1944"/>
      <c r="AO128" s="1944"/>
      <c r="AP128" s="1944"/>
      <c r="AQ128" s="1944"/>
      <c r="AR128" s="1944"/>
      <c r="AS128" s="1944"/>
      <c r="AT128" s="1991"/>
      <c r="AU128" s="1990"/>
      <c r="AV128" s="1990"/>
      <c r="AX128" s="1937" t="s">
        <v>1415</v>
      </c>
      <c r="AY128" s="1941" t="s">
        <v>169</v>
      </c>
      <c r="AZ128" s="1938" t="s">
        <v>1268</v>
      </c>
      <c r="BA128" s="1944"/>
      <c r="BB128" s="1944"/>
      <c r="BC128" s="1944"/>
      <c r="BD128" s="1944"/>
      <c r="BE128" s="1944"/>
      <c r="BF128" s="1944"/>
      <c r="BG128" s="1944"/>
      <c r="BH128" s="1944"/>
      <c r="BI128" s="1944"/>
      <c r="BJ128" s="1944"/>
      <c r="BK128" s="1991"/>
      <c r="BL128" s="1990"/>
      <c r="BM128" s="1990"/>
      <c r="BO128" s="1937" t="s">
        <v>1415</v>
      </c>
      <c r="BP128" s="1941" t="s">
        <v>169</v>
      </c>
      <c r="BQ128" s="1938"/>
      <c r="BR128" s="1944"/>
      <c r="BS128" s="1944"/>
      <c r="BT128" s="1944"/>
      <c r="BU128" s="1944"/>
      <c r="BV128" s="1944"/>
      <c r="BW128" s="1944"/>
      <c r="BX128" s="1944"/>
      <c r="BY128" s="1944"/>
      <c r="BZ128" s="3052"/>
      <c r="CA128" s="1944"/>
      <c r="CB128" s="1991"/>
      <c r="CC128" s="1990"/>
      <c r="CD128" s="1990"/>
      <c r="CE128" s="2275"/>
      <c r="CG128" s="1937" t="s">
        <v>1415</v>
      </c>
      <c r="CH128" s="1941" t="s">
        <v>169</v>
      </c>
      <c r="CI128" s="1938"/>
      <c r="CJ128" s="2706">
        <f t="shared" si="114"/>
        <v>0</v>
      </c>
      <c r="CK128" s="2706">
        <f t="shared" si="102"/>
        <v>0</v>
      </c>
      <c r="CL128" s="2706">
        <f t="shared" si="103"/>
        <v>0</v>
      </c>
      <c r="CM128" s="2706">
        <f t="shared" si="104"/>
        <v>0</v>
      </c>
      <c r="CN128" s="2706">
        <f t="shared" si="105"/>
        <v>0</v>
      </c>
      <c r="CO128" s="2706">
        <f t="shared" si="106"/>
        <v>0</v>
      </c>
      <c r="CP128" s="2706">
        <f t="shared" si="107"/>
        <v>0</v>
      </c>
      <c r="CQ128" s="2706">
        <f t="shared" si="108"/>
        <v>0</v>
      </c>
      <c r="CR128" s="2706">
        <f t="shared" si="109"/>
        <v>0</v>
      </c>
      <c r="CS128" s="2706">
        <f t="shared" si="110"/>
        <v>0</v>
      </c>
      <c r="CT128" s="2722">
        <f t="shared" si="111"/>
        <v>0</v>
      </c>
      <c r="CU128" s="2721">
        <f t="shared" si="112"/>
        <v>0</v>
      </c>
      <c r="CV128" s="2721">
        <f t="shared" si="113"/>
        <v>0</v>
      </c>
      <c r="CX128" s="1937" t="s">
        <v>1415</v>
      </c>
      <c r="CY128" s="1941" t="s">
        <v>169</v>
      </c>
      <c r="CZ128" s="1938"/>
      <c r="DA128" s="2695">
        <f t="shared" si="115"/>
        <v>0</v>
      </c>
      <c r="DB128" s="2695"/>
      <c r="DC128" s="2695"/>
      <c r="DD128" s="2695"/>
      <c r="DE128" s="2695"/>
      <c r="DF128" s="2695"/>
      <c r="DG128" s="2695"/>
      <c r="DH128" s="2695"/>
      <c r="DI128" s="2695"/>
      <c r="DJ128" s="2695"/>
      <c r="DK128" s="2915"/>
      <c r="DL128" s="2698"/>
      <c r="DM128" s="2698"/>
    </row>
    <row r="129" spans="2:117">
      <c r="B129" s="1916">
        <f t="shared" si="125"/>
        <v>3</v>
      </c>
      <c r="C129" s="1928" t="str">
        <f t="shared" si="93"/>
        <v>設備システムの高効率化</v>
      </c>
      <c r="D129" s="1924" t="e">
        <f>IF(I$122=0,0,G129/I$122)</f>
        <v>#DIV/0!</v>
      </c>
      <c r="E129" s="1925" t="e">
        <f>IF(J$122=0,0,H129/J$122)</f>
        <v>#DIV/0!</v>
      </c>
      <c r="G129" s="1925" t="e">
        <f t="shared" si="122"/>
        <v>#DIV/0!</v>
      </c>
      <c r="H129" s="1925" t="e">
        <f t="shared" si="123"/>
        <v>#DIV/0!</v>
      </c>
      <c r="I129" s="1996" t="e">
        <f>SUM(G130:G131)</f>
        <v>#DIV/0!</v>
      </c>
      <c r="J129" s="1996" t="e">
        <f>SUM(H130:H131)</f>
        <v>#DIV/0!</v>
      </c>
      <c r="K129" s="1925">
        <f>IF(スコア!O129=0,0,1)</f>
        <v>0</v>
      </c>
      <c r="L129" s="1925">
        <f>IF(スコア!R129=0,0,1)</f>
        <v>0</v>
      </c>
      <c r="M129" s="1925" t="e">
        <f t="shared" si="124"/>
        <v>#DIV/0!</v>
      </c>
      <c r="N129" s="1925" t="e">
        <f t="shared" si="132"/>
        <v>#DIV/0!</v>
      </c>
      <c r="P129" s="1927">
        <f t="shared" si="94"/>
        <v>3</v>
      </c>
      <c r="Q129" s="1927" t="str">
        <f t="shared" si="95"/>
        <v>LR1</v>
      </c>
      <c r="R129" s="1928" t="str">
        <f t="shared" si="96"/>
        <v>設備システムの高効率化</v>
      </c>
      <c r="S129" s="2808">
        <f t="shared" si="133"/>
        <v>0.5</v>
      </c>
      <c r="T129" s="2808">
        <f t="shared" si="134"/>
        <v>0.5</v>
      </c>
      <c r="U129" s="2808">
        <f t="shared" si="135"/>
        <v>0.5</v>
      </c>
      <c r="V129" s="2808">
        <f t="shared" si="136"/>
        <v>0.5</v>
      </c>
      <c r="W129" s="2808">
        <f t="shared" si="137"/>
        <v>0.5</v>
      </c>
      <c r="X129" s="2808">
        <f t="shared" si="138"/>
        <v>0.5</v>
      </c>
      <c r="Y129" s="2808">
        <f t="shared" si="139"/>
        <v>0.5</v>
      </c>
      <c r="Z129" s="2797">
        <f t="shared" si="140"/>
        <v>0.5</v>
      </c>
      <c r="AA129" s="2808">
        <f t="shared" si="141"/>
        <v>0.5</v>
      </c>
      <c r="AB129" s="2808">
        <f t="shared" si="142"/>
        <v>0.5</v>
      </c>
      <c r="AC129" s="2798">
        <f t="shared" si="143"/>
        <v>0</v>
      </c>
      <c r="AD129" s="2796">
        <f t="shared" si="144"/>
        <v>0</v>
      </c>
      <c r="AE129" s="2796">
        <f t="shared" si="145"/>
        <v>0</v>
      </c>
      <c r="AG129" s="1927">
        <v>3</v>
      </c>
      <c r="AH129" s="1931" t="s">
        <v>1779</v>
      </c>
      <c r="AI129" s="1928" t="s">
        <v>1269</v>
      </c>
      <c r="AJ129" s="1980">
        <v>0.5</v>
      </c>
      <c r="AK129" s="1980">
        <v>0.5</v>
      </c>
      <c r="AL129" s="1980">
        <v>0.5</v>
      </c>
      <c r="AM129" s="1980">
        <v>0.5</v>
      </c>
      <c r="AN129" s="1980">
        <v>0.5</v>
      </c>
      <c r="AO129" s="1980">
        <v>0.5</v>
      </c>
      <c r="AP129" s="1980">
        <v>0.5</v>
      </c>
      <c r="AQ129" s="1980">
        <v>0.5</v>
      </c>
      <c r="AR129" s="2124">
        <v>0.625</v>
      </c>
      <c r="AS129" s="1980">
        <v>0.5</v>
      </c>
      <c r="AT129" s="1933"/>
      <c r="AU129" s="1932"/>
      <c r="AV129" s="1932"/>
      <c r="AX129" s="1927">
        <v>3</v>
      </c>
      <c r="AY129" s="1931" t="s">
        <v>1779</v>
      </c>
      <c r="AZ129" s="1928" t="s">
        <v>1269</v>
      </c>
      <c r="BA129" s="1980">
        <v>0.5</v>
      </c>
      <c r="BB129" s="1980">
        <v>0.5</v>
      </c>
      <c r="BC129" s="1980">
        <v>0.5</v>
      </c>
      <c r="BD129" s="1980">
        <v>0.5</v>
      </c>
      <c r="BE129" s="1980">
        <v>0.5</v>
      </c>
      <c r="BF129" s="1980">
        <v>0.5</v>
      </c>
      <c r="BG129" s="1980">
        <v>0.5</v>
      </c>
      <c r="BH129" s="1980">
        <v>0.5</v>
      </c>
      <c r="BI129" s="1980">
        <v>0.5</v>
      </c>
      <c r="BJ129" s="1980">
        <v>0.5</v>
      </c>
      <c r="BK129" s="1933"/>
      <c r="BL129" s="1932"/>
      <c r="BM129" s="1932"/>
      <c r="BO129" s="1927">
        <v>3</v>
      </c>
      <c r="BP129" s="1931" t="s">
        <v>1779</v>
      </c>
      <c r="BQ129" s="1928" t="s">
        <v>1269</v>
      </c>
      <c r="BR129" s="1980">
        <v>0.5</v>
      </c>
      <c r="BS129" s="1980">
        <v>0.5</v>
      </c>
      <c r="BT129" s="1980">
        <v>0.5</v>
      </c>
      <c r="BU129" s="1980">
        <v>0.5</v>
      </c>
      <c r="BV129" s="1980">
        <v>0.5</v>
      </c>
      <c r="BW129" s="1980">
        <v>0.5</v>
      </c>
      <c r="BX129" s="1980">
        <v>0.5</v>
      </c>
      <c r="BY129" s="1980">
        <v>0.5</v>
      </c>
      <c r="BZ129" s="3051">
        <v>0.5</v>
      </c>
      <c r="CA129" s="1980">
        <v>0.5</v>
      </c>
      <c r="CB129" s="1933"/>
      <c r="CC129" s="1932"/>
      <c r="CD129" s="1932"/>
      <c r="CE129" s="2271"/>
      <c r="CG129" s="1927">
        <v>3</v>
      </c>
      <c r="CH129" s="1931" t="s">
        <v>1779</v>
      </c>
      <c r="CI129" s="1928" t="s">
        <v>1269</v>
      </c>
      <c r="CJ129" s="2716">
        <f t="shared" si="114"/>
        <v>0.5</v>
      </c>
      <c r="CK129" s="2716">
        <f t="shared" si="102"/>
        <v>0.5</v>
      </c>
      <c r="CL129" s="2716">
        <f t="shared" si="103"/>
        <v>0.5</v>
      </c>
      <c r="CM129" s="2716">
        <f t="shared" si="104"/>
        <v>0.5</v>
      </c>
      <c r="CN129" s="2716">
        <f t="shared" si="105"/>
        <v>0.5</v>
      </c>
      <c r="CO129" s="2716">
        <f t="shared" si="106"/>
        <v>0.5</v>
      </c>
      <c r="CP129" s="2716">
        <f t="shared" si="107"/>
        <v>0.5</v>
      </c>
      <c r="CQ129" s="2716">
        <f t="shared" si="108"/>
        <v>0.5</v>
      </c>
      <c r="CR129" s="2716">
        <f t="shared" si="109"/>
        <v>0.5</v>
      </c>
      <c r="CS129" s="2716">
        <f t="shared" si="110"/>
        <v>0.5</v>
      </c>
      <c r="CT129" s="2705">
        <f t="shared" si="111"/>
        <v>0</v>
      </c>
      <c r="CU129" s="2703">
        <f t="shared" si="112"/>
        <v>0</v>
      </c>
      <c r="CV129" s="2703">
        <f t="shared" si="113"/>
        <v>0</v>
      </c>
      <c r="CX129" s="1927">
        <v>3</v>
      </c>
      <c r="CY129" s="1931" t="s">
        <v>1779</v>
      </c>
      <c r="CZ129" s="1928" t="s">
        <v>1269</v>
      </c>
      <c r="DA129" s="2696">
        <f t="shared" si="115"/>
        <v>0.5</v>
      </c>
      <c r="DB129" s="2696"/>
      <c r="DC129" s="2696"/>
      <c r="DD129" s="2696"/>
      <c r="DE129" s="2696"/>
      <c r="DF129" s="2696"/>
      <c r="DG129" s="2696"/>
      <c r="DH129" s="2696"/>
      <c r="DI129" s="2696"/>
      <c r="DJ129" s="2696"/>
      <c r="DK129" s="2694"/>
      <c r="DL129" s="2693"/>
      <c r="DM129" s="2693"/>
    </row>
    <row r="130" spans="2:117" hidden="1">
      <c r="B130" s="1916" t="str">
        <f t="shared" si="125"/>
        <v>3a.3b</v>
      </c>
      <c r="C130" s="1928" t="str">
        <f t="shared" si="93"/>
        <v>非住宅部分</v>
      </c>
      <c r="D130" s="1924" t="e">
        <f>IF(I$129=0,0,G130/I$129)</f>
        <v>#DIV/0!</v>
      </c>
      <c r="E130" s="1925" t="e">
        <f>IF(J$129=0,0,H130/J$129)</f>
        <v>#DIV/0!</v>
      </c>
      <c r="G130" s="1925" t="e">
        <f t="shared" si="122"/>
        <v>#DIV/0!</v>
      </c>
      <c r="H130" s="1925" t="e">
        <f t="shared" si="123"/>
        <v>#DIV/0!</v>
      </c>
      <c r="I130" s="1925"/>
      <c r="J130" s="1925"/>
      <c r="K130" s="1925">
        <f>IF(スコア!O130=0,0,1)</f>
        <v>0</v>
      </c>
      <c r="L130" s="1925">
        <f>IF(スコア!R130=0,0,1)</f>
        <v>0</v>
      </c>
      <c r="M130" s="1925" t="e">
        <f>SUMPRODUCT($S$7:$AB$7,S130:AB130)</f>
        <v>#DIV/0!</v>
      </c>
      <c r="N130" s="1925" t="e">
        <f t="shared" si="132"/>
        <v>#DIV/0!</v>
      </c>
      <c r="P130" s="1927" t="str">
        <f t="shared" si="94"/>
        <v>3a.3b</v>
      </c>
      <c r="Q130" s="1927" t="str">
        <f t="shared" si="95"/>
        <v>LR1 3</v>
      </c>
      <c r="R130" s="1928" t="str">
        <f t="shared" si="96"/>
        <v>非住宅部分</v>
      </c>
      <c r="S130" s="2799">
        <f t="shared" si="133"/>
        <v>1</v>
      </c>
      <c r="T130" s="2799">
        <f t="shared" si="134"/>
        <v>1</v>
      </c>
      <c r="U130" s="2799">
        <f t="shared" si="135"/>
        <v>1</v>
      </c>
      <c r="V130" s="2799">
        <f t="shared" si="136"/>
        <v>1</v>
      </c>
      <c r="W130" s="2799">
        <f t="shared" si="137"/>
        <v>1</v>
      </c>
      <c r="X130" s="2799">
        <f t="shared" si="138"/>
        <v>1</v>
      </c>
      <c r="Y130" s="2799">
        <f t="shared" si="139"/>
        <v>0</v>
      </c>
      <c r="Z130" s="2801">
        <f t="shared" si="140"/>
        <v>1</v>
      </c>
      <c r="AA130" s="2799">
        <f t="shared" si="141"/>
        <v>1</v>
      </c>
      <c r="AB130" s="2799">
        <f t="shared" si="142"/>
        <v>1</v>
      </c>
      <c r="AC130" s="2798">
        <f t="shared" si="143"/>
        <v>0</v>
      </c>
      <c r="AD130" s="2796">
        <f t="shared" si="144"/>
        <v>0</v>
      </c>
      <c r="AE130" s="2796">
        <f t="shared" si="145"/>
        <v>0</v>
      </c>
      <c r="AG130" s="1927" t="s">
        <v>1416</v>
      </c>
      <c r="AH130" s="1931" t="s">
        <v>1417</v>
      </c>
      <c r="AI130" s="1928" t="s">
        <v>170</v>
      </c>
      <c r="AJ130" s="2052"/>
      <c r="AK130" s="2052"/>
      <c r="AL130" s="2052"/>
      <c r="AM130" s="2052"/>
      <c r="AN130" s="2052"/>
      <c r="AO130" s="2052"/>
      <c r="AP130" s="2053"/>
      <c r="AQ130" s="2052"/>
      <c r="AR130" s="2052"/>
      <c r="AS130" s="2053"/>
      <c r="AT130" s="1933"/>
      <c r="AU130" s="1932"/>
      <c r="AV130" s="1932"/>
      <c r="AX130" s="1927" t="s">
        <v>1416</v>
      </c>
      <c r="AY130" s="1931" t="s">
        <v>1417</v>
      </c>
      <c r="AZ130" s="1928" t="s">
        <v>1024</v>
      </c>
      <c r="BA130" s="2053">
        <v>1</v>
      </c>
      <c r="BB130" s="2053">
        <v>1</v>
      </c>
      <c r="BC130" s="2053">
        <v>1</v>
      </c>
      <c r="BD130" s="2053">
        <v>1</v>
      </c>
      <c r="BE130" s="2053">
        <v>1</v>
      </c>
      <c r="BF130" s="2053">
        <v>1</v>
      </c>
      <c r="BG130" s="2053"/>
      <c r="BH130" s="2053">
        <v>1</v>
      </c>
      <c r="BI130" s="2053">
        <v>1</v>
      </c>
      <c r="BJ130" s="2053">
        <v>1</v>
      </c>
      <c r="BK130" s="1933"/>
      <c r="BL130" s="1932"/>
      <c r="BM130" s="1932"/>
      <c r="BO130" s="1927" t="s">
        <v>2934</v>
      </c>
      <c r="BP130" s="1931" t="s">
        <v>1417</v>
      </c>
      <c r="BQ130" s="1928" t="s">
        <v>1024</v>
      </c>
      <c r="BR130" s="2053">
        <v>1</v>
      </c>
      <c r="BS130" s="2053">
        <v>1</v>
      </c>
      <c r="BT130" s="2053">
        <v>1</v>
      </c>
      <c r="BU130" s="2053">
        <v>1</v>
      </c>
      <c r="BV130" s="2053">
        <v>1</v>
      </c>
      <c r="BW130" s="2053">
        <v>1</v>
      </c>
      <c r="BX130" s="2053"/>
      <c r="BY130" s="2053">
        <v>1</v>
      </c>
      <c r="BZ130" s="3053">
        <v>1</v>
      </c>
      <c r="CA130" s="2053">
        <v>1</v>
      </c>
      <c r="CB130" s="1933"/>
      <c r="CC130" s="1932"/>
      <c r="CD130" s="1932"/>
      <c r="CE130" s="2271"/>
      <c r="CG130" s="1927" t="s">
        <v>2934</v>
      </c>
      <c r="CH130" s="1931" t="s">
        <v>1417</v>
      </c>
      <c r="CI130" s="1928" t="s">
        <v>1024</v>
      </c>
      <c r="CJ130" s="2717">
        <f t="shared" si="114"/>
        <v>1</v>
      </c>
      <c r="CK130" s="2717">
        <f t="shared" si="102"/>
        <v>1</v>
      </c>
      <c r="CL130" s="2717">
        <f t="shared" si="103"/>
        <v>1</v>
      </c>
      <c r="CM130" s="2717">
        <f t="shared" si="104"/>
        <v>1</v>
      </c>
      <c r="CN130" s="2717">
        <f t="shared" si="105"/>
        <v>1</v>
      </c>
      <c r="CO130" s="2717">
        <f t="shared" si="106"/>
        <v>1</v>
      </c>
      <c r="CP130" s="2717">
        <f t="shared" si="107"/>
        <v>0</v>
      </c>
      <c r="CQ130" s="2717">
        <f t="shared" si="108"/>
        <v>1</v>
      </c>
      <c r="CR130" s="2717">
        <f t="shared" si="109"/>
        <v>1</v>
      </c>
      <c r="CS130" s="2717">
        <f t="shared" si="110"/>
        <v>1</v>
      </c>
      <c r="CT130" s="2705">
        <f t="shared" si="111"/>
        <v>0</v>
      </c>
      <c r="CU130" s="2703">
        <f t="shared" si="112"/>
        <v>0</v>
      </c>
      <c r="CV130" s="2703">
        <f t="shared" si="113"/>
        <v>0</v>
      </c>
      <c r="CX130" s="1927" t="s">
        <v>2934</v>
      </c>
      <c r="CY130" s="1931" t="s">
        <v>1417</v>
      </c>
      <c r="CZ130" s="1928" t="s">
        <v>1024</v>
      </c>
      <c r="DA130" s="2697">
        <f t="shared" si="115"/>
        <v>1</v>
      </c>
      <c r="DB130" s="2697"/>
      <c r="DC130" s="2697"/>
      <c r="DD130" s="2697"/>
      <c r="DE130" s="2697"/>
      <c r="DF130" s="2697"/>
      <c r="DG130" s="2697"/>
      <c r="DH130" s="2697"/>
      <c r="DI130" s="2697"/>
      <c r="DJ130" s="2697"/>
      <c r="DK130" s="2694"/>
      <c r="DL130" s="2693"/>
      <c r="DM130" s="2693"/>
    </row>
    <row r="131" spans="2:117" hidden="1">
      <c r="B131" s="1916" t="str">
        <f t="shared" si="125"/>
        <v>3b.c</v>
      </c>
      <c r="C131" s="1928" t="str">
        <f t="shared" si="93"/>
        <v>集合住宅の評価</v>
      </c>
      <c r="D131" s="1924" t="e">
        <f>IF(I$129=0,0,G131/I$129)</f>
        <v>#DIV/0!</v>
      </c>
      <c r="E131" s="1925" t="e">
        <f>IF(J$129=0,0,H131/J$129)</f>
        <v>#DIV/0!</v>
      </c>
      <c r="G131" s="1925" t="e">
        <f t="shared" si="122"/>
        <v>#DIV/0!</v>
      </c>
      <c r="H131" s="1925" t="e">
        <f t="shared" si="123"/>
        <v>#DIV/0!</v>
      </c>
      <c r="I131" s="1925" t="e">
        <f>G132+G133+G134+G135+G136</f>
        <v>#DIV/0!</v>
      </c>
      <c r="J131" s="1925" t="e">
        <f>H132+H133+H134+H135+H136</f>
        <v>#DIV/0!</v>
      </c>
      <c r="K131" s="1925">
        <f>IF(スコア!O131=0,0,1)</f>
        <v>0</v>
      </c>
      <c r="L131" s="1925">
        <f>IF(スコア!R131=0,0,1)</f>
        <v>0</v>
      </c>
      <c r="M131" s="1925" t="e">
        <f>SUMPRODUCT($S$7:$AB$7,S131:AB131)</f>
        <v>#DIV/0!</v>
      </c>
      <c r="N131" s="1925" t="e">
        <f t="shared" si="132"/>
        <v>#DIV/0!</v>
      </c>
      <c r="P131" s="1927" t="str">
        <f t="shared" si="94"/>
        <v>3b.c</v>
      </c>
      <c r="Q131" s="1927" t="str">
        <f t="shared" si="95"/>
        <v>LR1 3</v>
      </c>
      <c r="R131" s="1928" t="str">
        <f t="shared" si="96"/>
        <v>集合住宅の評価</v>
      </c>
      <c r="S131" s="2799">
        <f t="shared" si="133"/>
        <v>0</v>
      </c>
      <c r="T131" s="2799">
        <f t="shared" si="134"/>
        <v>0</v>
      </c>
      <c r="U131" s="2799">
        <f t="shared" si="135"/>
        <v>0</v>
      </c>
      <c r="V131" s="2799">
        <f t="shared" si="136"/>
        <v>0</v>
      </c>
      <c r="W131" s="2799">
        <f t="shared" si="137"/>
        <v>0</v>
      </c>
      <c r="X131" s="2799">
        <f t="shared" si="138"/>
        <v>0</v>
      </c>
      <c r="Y131" s="2799">
        <f t="shared" si="139"/>
        <v>1</v>
      </c>
      <c r="Z131" s="2801">
        <f t="shared" si="140"/>
        <v>0</v>
      </c>
      <c r="AA131" s="2799">
        <f t="shared" si="141"/>
        <v>0</v>
      </c>
      <c r="AB131" s="2799">
        <f t="shared" si="142"/>
        <v>0</v>
      </c>
      <c r="AC131" s="2798">
        <f t="shared" si="143"/>
        <v>0</v>
      </c>
      <c r="AD131" s="2796">
        <f t="shared" si="144"/>
        <v>0</v>
      </c>
      <c r="AE131" s="2796">
        <f t="shared" si="145"/>
        <v>0</v>
      </c>
      <c r="AG131" s="1927" t="s">
        <v>1937</v>
      </c>
      <c r="AH131" s="1931" t="s">
        <v>1417</v>
      </c>
      <c r="AI131" s="1928" t="s">
        <v>171</v>
      </c>
      <c r="AJ131" s="2054"/>
      <c r="AK131" s="2054"/>
      <c r="AL131" s="2054"/>
      <c r="AM131" s="2054"/>
      <c r="AN131" s="2054"/>
      <c r="AO131" s="2054"/>
      <c r="AP131" s="2053"/>
      <c r="AQ131" s="2054"/>
      <c r="AR131" s="2054"/>
      <c r="AS131" s="2053"/>
      <c r="AT131" s="1933"/>
      <c r="AU131" s="1932"/>
      <c r="AV131" s="1932"/>
      <c r="AX131" s="1927" t="s">
        <v>1937</v>
      </c>
      <c r="AY131" s="1931" t="s">
        <v>1417</v>
      </c>
      <c r="AZ131" s="1928" t="s">
        <v>1604</v>
      </c>
      <c r="BA131" s="2054"/>
      <c r="BB131" s="2054"/>
      <c r="BC131" s="2054"/>
      <c r="BD131" s="2054"/>
      <c r="BE131" s="2054"/>
      <c r="BF131" s="2054"/>
      <c r="BG131" s="2053">
        <v>1</v>
      </c>
      <c r="BH131" s="2054"/>
      <c r="BI131" s="2054"/>
      <c r="BJ131" s="2053"/>
      <c r="BK131" s="1933"/>
      <c r="BL131" s="1932"/>
      <c r="BM131" s="1932"/>
      <c r="BO131" s="1927" t="s">
        <v>2935</v>
      </c>
      <c r="BP131" s="1931" t="s">
        <v>1417</v>
      </c>
      <c r="BQ131" s="1928" t="s">
        <v>1604</v>
      </c>
      <c r="BR131" s="2054"/>
      <c r="BS131" s="2054"/>
      <c r="BT131" s="2054"/>
      <c r="BU131" s="2054"/>
      <c r="BV131" s="2054"/>
      <c r="BW131" s="2054"/>
      <c r="BX131" s="2053">
        <v>1</v>
      </c>
      <c r="BY131" s="2054"/>
      <c r="BZ131" s="3054"/>
      <c r="CA131" s="2053"/>
      <c r="CB131" s="1933"/>
      <c r="CC131" s="1932"/>
      <c r="CD131" s="1932"/>
      <c r="CE131" s="2271"/>
      <c r="CG131" s="1927" t="s">
        <v>2935</v>
      </c>
      <c r="CH131" s="1931" t="s">
        <v>1417</v>
      </c>
      <c r="CI131" s="1928" t="s">
        <v>1604</v>
      </c>
      <c r="CJ131" s="2716">
        <f t="shared" si="114"/>
        <v>0</v>
      </c>
      <c r="CK131" s="2716">
        <f t="shared" si="102"/>
        <v>0</v>
      </c>
      <c r="CL131" s="2716">
        <f t="shared" si="103"/>
        <v>0</v>
      </c>
      <c r="CM131" s="2716">
        <f t="shared" si="104"/>
        <v>0</v>
      </c>
      <c r="CN131" s="2716">
        <f t="shared" si="105"/>
        <v>0</v>
      </c>
      <c r="CO131" s="2716">
        <f t="shared" si="106"/>
        <v>0</v>
      </c>
      <c r="CP131" s="2717">
        <f t="shared" si="107"/>
        <v>1</v>
      </c>
      <c r="CQ131" s="2716">
        <f t="shared" si="108"/>
        <v>0</v>
      </c>
      <c r="CR131" s="2716">
        <f t="shared" si="109"/>
        <v>0</v>
      </c>
      <c r="CS131" s="2717">
        <f t="shared" si="110"/>
        <v>0</v>
      </c>
      <c r="CT131" s="2705">
        <f t="shared" si="111"/>
        <v>0</v>
      </c>
      <c r="CU131" s="2703">
        <f t="shared" si="112"/>
        <v>0</v>
      </c>
      <c r="CV131" s="2703">
        <f t="shared" si="113"/>
        <v>0</v>
      </c>
      <c r="CX131" s="1927" t="s">
        <v>2935</v>
      </c>
      <c r="CY131" s="1931" t="s">
        <v>1417</v>
      </c>
      <c r="CZ131" s="1928" t="s">
        <v>1604</v>
      </c>
      <c r="DA131" s="2696">
        <f t="shared" si="115"/>
        <v>0</v>
      </c>
      <c r="DB131" s="2696"/>
      <c r="DC131" s="2696"/>
      <c r="DD131" s="2696"/>
      <c r="DE131" s="2696"/>
      <c r="DF131" s="2696"/>
      <c r="DG131" s="2697"/>
      <c r="DH131" s="2696"/>
      <c r="DI131" s="2696"/>
      <c r="DJ131" s="2697"/>
      <c r="DK131" s="2694"/>
      <c r="DL131" s="2693"/>
      <c r="DM131" s="2693"/>
    </row>
    <row r="132" spans="2:117" hidden="1">
      <c r="B132" s="1916">
        <f t="shared" si="125"/>
        <v>3.1</v>
      </c>
      <c r="C132" s="1938" t="str">
        <f t="shared" si="93"/>
        <v>空調設備</v>
      </c>
      <c r="D132" s="1935" t="e">
        <f t="shared" ref="D132:E136" si="146">IF(I$131=0,0,G132/I$131)</f>
        <v>#DIV/0!</v>
      </c>
      <c r="E132" s="1936" t="e">
        <f t="shared" si="146"/>
        <v>#DIV/0!</v>
      </c>
      <c r="G132" s="1936" t="e">
        <f t="shared" si="122"/>
        <v>#DIV/0!</v>
      </c>
      <c r="H132" s="1936" t="e">
        <f t="shared" si="123"/>
        <v>#DIV/0!</v>
      </c>
      <c r="I132" s="1936"/>
      <c r="J132" s="1936"/>
      <c r="K132" s="1936">
        <f>IF(スコア!O132=0,0,1)</f>
        <v>0</v>
      </c>
      <c r="L132" s="1936">
        <f>IF(スコア!R132=0,0,1)</f>
        <v>0</v>
      </c>
      <c r="M132" s="1936" t="e">
        <f t="shared" si="124"/>
        <v>#DIV/0!</v>
      </c>
      <c r="N132" s="1936" t="e">
        <f t="shared" si="132"/>
        <v>#DIV/0!</v>
      </c>
      <c r="P132" s="1937">
        <f t="shared" si="94"/>
        <v>3.1</v>
      </c>
      <c r="Q132" s="1937" t="str">
        <f t="shared" si="95"/>
        <v>LR1 3b</v>
      </c>
      <c r="R132" s="1938" t="str">
        <f t="shared" si="96"/>
        <v>空調設備</v>
      </c>
      <c r="S132" s="2799">
        <f t="shared" si="133"/>
        <v>0</v>
      </c>
      <c r="T132" s="2799">
        <f t="shared" si="134"/>
        <v>0</v>
      </c>
      <c r="U132" s="2799">
        <f t="shared" si="135"/>
        <v>0</v>
      </c>
      <c r="V132" s="2799">
        <f t="shared" si="136"/>
        <v>0</v>
      </c>
      <c r="W132" s="2799">
        <f t="shared" si="137"/>
        <v>0</v>
      </c>
      <c r="X132" s="2799">
        <f t="shared" si="138"/>
        <v>0</v>
      </c>
      <c r="Y132" s="2799">
        <f t="shared" si="139"/>
        <v>0</v>
      </c>
      <c r="Z132" s="2801">
        <f t="shared" si="140"/>
        <v>0</v>
      </c>
      <c r="AA132" s="2799">
        <f t="shared" si="141"/>
        <v>0</v>
      </c>
      <c r="AB132" s="2799">
        <f t="shared" si="142"/>
        <v>0</v>
      </c>
      <c r="AC132" s="2800">
        <f t="shared" si="143"/>
        <v>0</v>
      </c>
      <c r="AD132" s="2799">
        <f t="shared" si="144"/>
        <v>0</v>
      </c>
      <c r="AE132" s="2799">
        <f t="shared" si="145"/>
        <v>0</v>
      </c>
      <c r="AG132" s="1937">
        <v>3.1</v>
      </c>
      <c r="AH132" s="1941" t="s">
        <v>1418</v>
      </c>
      <c r="AI132" s="1938" t="s">
        <v>1270</v>
      </c>
      <c r="AJ132" s="1944"/>
      <c r="AK132" s="1944"/>
      <c r="AL132" s="1944"/>
      <c r="AM132" s="1944"/>
      <c r="AN132" s="1944"/>
      <c r="AO132" s="1944"/>
      <c r="AP132" s="1944"/>
      <c r="AQ132" s="1951"/>
      <c r="AR132" s="1944"/>
      <c r="AS132" s="2125">
        <v>0.65</v>
      </c>
      <c r="AT132" s="1945"/>
      <c r="AU132" s="1944"/>
      <c r="AV132" s="1944"/>
      <c r="AX132" s="1937">
        <v>3.1</v>
      </c>
      <c r="AY132" s="1941" t="s">
        <v>1418</v>
      </c>
      <c r="AZ132" s="1938" t="s">
        <v>1270</v>
      </c>
      <c r="BA132" s="1944"/>
      <c r="BB132" s="1944"/>
      <c r="BC132" s="1944"/>
      <c r="BD132" s="1944"/>
      <c r="BE132" s="1944"/>
      <c r="BF132" s="1944"/>
      <c r="BG132" s="1944"/>
      <c r="BH132" s="1951"/>
      <c r="BI132" s="1944"/>
      <c r="BJ132" s="2125">
        <v>0.65</v>
      </c>
      <c r="BK132" s="1945"/>
      <c r="BL132" s="1944"/>
      <c r="BM132" s="1944"/>
      <c r="BO132" s="1937">
        <v>3.1</v>
      </c>
      <c r="BP132" s="1941" t="s">
        <v>1418</v>
      </c>
      <c r="BQ132" s="1938" t="s">
        <v>1270</v>
      </c>
      <c r="BR132" s="1944"/>
      <c r="BS132" s="1944"/>
      <c r="BT132" s="1944"/>
      <c r="BU132" s="1944"/>
      <c r="BV132" s="1944"/>
      <c r="BW132" s="1944"/>
      <c r="BX132" s="1944"/>
      <c r="BY132" s="1951"/>
      <c r="BZ132" s="3052"/>
      <c r="CA132" s="1944"/>
      <c r="CB132" s="1945"/>
      <c r="CC132" s="1944"/>
      <c r="CD132" s="1944"/>
      <c r="CE132" s="2272"/>
      <c r="CF132">
        <f>ROWS($CF$5:CF131)</f>
        <v>127</v>
      </c>
      <c r="CG132" s="1937">
        <v>3.1</v>
      </c>
      <c r="CH132" s="1941" t="s">
        <v>1418</v>
      </c>
      <c r="CI132" s="1938"/>
      <c r="CJ132" s="2706">
        <f t="shared" si="114"/>
        <v>0</v>
      </c>
      <c r="CK132" s="2706">
        <f t="shared" si="102"/>
        <v>0</v>
      </c>
      <c r="CL132" s="2706">
        <f t="shared" si="103"/>
        <v>0</v>
      </c>
      <c r="CM132" s="2706">
        <f t="shared" si="104"/>
        <v>0</v>
      </c>
      <c r="CN132" s="2706">
        <f t="shared" si="105"/>
        <v>0</v>
      </c>
      <c r="CO132" s="2706">
        <f t="shared" si="106"/>
        <v>0</v>
      </c>
      <c r="CP132" s="2706">
        <f t="shared" si="107"/>
        <v>0</v>
      </c>
      <c r="CQ132" s="2718">
        <f t="shared" si="108"/>
        <v>0</v>
      </c>
      <c r="CR132" s="2706">
        <f t="shared" si="109"/>
        <v>0</v>
      </c>
      <c r="CS132" s="2706">
        <f t="shared" si="110"/>
        <v>0</v>
      </c>
      <c r="CT132" s="2708">
        <f t="shared" si="111"/>
        <v>0</v>
      </c>
      <c r="CU132" s="2706">
        <f t="shared" si="112"/>
        <v>0</v>
      </c>
      <c r="CV132" s="2706">
        <f t="shared" si="113"/>
        <v>0</v>
      </c>
      <c r="CX132" s="1937">
        <v>3.1</v>
      </c>
      <c r="CY132" s="1941" t="s">
        <v>1418</v>
      </c>
      <c r="CZ132" s="1938"/>
      <c r="DA132" s="2695">
        <f t="shared" si="115"/>
        <v>0</v>
      </c>
      <c r="DB132" s="2695"/>
      <c r="DC132" s="2695"/>
      <c r="DD132" s="2695"/>
      <c r="DE132" s="2695"/>
      <c r="DF132" s="2695"/>
      <c r="DG132" s="2695"/>
      <c r="DH132" s="2778"/>
      <c r="DI132" s="2695"/>
      <c r="DJ132" s="2695"/>
      <c r="DK132" s="2905"/>
      <c r="DL132" s="2695"/>
      <c r="DM132" s="2695"/>
    </row>
    <row r="133" spans="2:117" hidden="1">
      <c r="B133" s="1916">
        <f t="shared" si="125"/>
        <v>3.2</v>
      </c>
      <c r="C133" s="1938" t="str">
        <f t="shared" si="93"/>
        <v>換気設備</v>
      </c>
      <c r="D133" s="1935" t="e">
        <f t="shared" si="146"/>
        <v>#DIV/0!</v>
      </c>
      <c r="E133" s="1936" t="e">
        <f t="shared" si="146"/>
        <v>#DIV/0!</v>
      </c>
      <c r="G133" s="1936" t="e">
        <f t="shared" si="122"/>
        <v>#DIV/0!</v>
      </c>
      <c r="H133" s="1936" t="e">
        <f t="shared" si="123"/>
        <v>#DIV/0!</v>
      </c>
      <c r="I133" s="1936"/>
      <c r="J133" s="1936"/>
      <c r="K133" s="1936">
        <f>IF(スコア!O133=0,0,1)</f>
        <v>0</v>
      </c>
      <c r="L133" s="1936">
        <f>IF(スコア!R133=0,0,1)</f>
        <v>0</v>
      </c>
      <c r="M133" s="1936" t="e">
        <f t="shared" si="124"/>
        <v>#DIV/0!</v>
      </c>
      <c r="N133" s="1936" t="e">
        <f t="shared" si="132"/>
        <v>#DIV/0!</v>
      </c>
      <c r="P133" s="1937">
        <f t="shared" si="94"/>
        <v>3.2</v>
      </c>
      <c r="Q133" s="1937" t="str">
        <f t="shared" si="95"/>
        <v>LR1 3b</v>
      </c>
      <c r="R133" s="1938" t="str">
        <f t="shared" si="96"/>
        <v>換気設備</v>
      </c>
      <c r="S133" s="2799">
        <f t="shared" si="133"/>
        <v>0</v>
      </c>
      <c r="T133" s="2799">
        <f t="shared" si="134"/>
        <v>0</v>
      </c>
      <c r="U133" s="2799">
        <f t="shared" si="135"/>
        <v>0</v>
      </c>
      <c r="V133" s="2799">
        <f t="shared" si="136"/>
        <v>0</v>
      </c>
      <c r="W133" s="2799">
        <f t="shared" si="137"/>
        <v>0</v>
      </c>
      <c r="X133" s="2799">
        <f t="shared" si="138"/>
        <v>0</v>
      </c>
      <c r="Y133" s="2799">
        <f t="shared" si="139"/>
        <v>0</v>
      </c>
      <c r="Z133" s="2801">
        <f t="shared" si="140"/>
        <v>0</v>
      </c>
      <c r="AA133" s="2799">
        <f t="shared" si="141"/>
        <v>0</v>
      </c>
      <c r="AB133" s="2799">
        <f t="shared" si="142"/>
        <v>0</v>
      </c>
      <c r="AC133" s="2800">
        <f t="shared" si="143"/>
        <v>0</v>
      </c>
      <c r="AD133" s="2799">
        <f t="shared" si="144"/>
        <v>0</v>
      </c>
      <c r="AE133" s="2799">
        <f t="shared" si="145"/>
        <v>0</v>
      </c>
      <c r="AG133" s="1937">
        <v>3.2</v>
      </c>
      <c r="AH133" s="1941" t="s">
        <v>1418</v>
      </c>
      <c r="AI133" s="1938" t="s">
        <v>1271</v>
      </c>
      <c r="AJ133" s="1944"/>
      <c r="AK133" s="1944"/>
      <c r="AL133" s="1944"/>
      <c r="AM133" s="1944"/>
      <c r="AN133" s="1944"/>
      <c r="AO133" s="1944"/>
      <c r="AP133" s="1944"/>
      <c r="AQ133" s="1951"/>
      <c r="AR133" s="1944"/>
      <c r="AS133" s="2125">
        <v>0.1</v>
      </c>
      <c r="AT133" s="1945"/>
      <c r="AU133" s="1944"/>
      <c r="AV133" s="1944"/>
      <c r="AX133" s="1937">
        <v>3.2</v>
      </c>
      <c r="AY133" s="1941" t="s">
        <v>1418</v>
      </c>
      <c r="AZ133" s="1938" t="s">
        <v>1271</v>
      </c>
      <c r="BA133" s="1944"/>
      <c r="BB133" s="1944"/>
      <c r="BC133" s="1944"/>
      <c r="BD133" s="1944"/>
      <c r="BE133" s="1944"/>
      <c r="BF133" s="1944"/>
      <c r="BG133" s="1944"/>
      <c r="BH133" s="1951"/>
      <c r="BI133" s="1944"/>
      <c r="BJ133" s="2125">
        <v>0.1</v>
      </c>
      <c r="BK133" s="1945"/>
      <c r="BL133" s="1944"/>
      <c r="BM133" s="1944"/>
      <c r="BO133" s="1937">
        <v>3.2</v>
      </c>
      <c r="BP133" s="1941" t="s">
        <v>1418</v>
      </c>
      <c r="BQ133" s="1938" t="s">
        <v>1271</v>
      </c>
      <c r="BR133" s="1944"/>
      <c r="BS133" s="1944"/>
      <c r="BT133" s="1944"/>
      <c r="BU133" s="1944"/>
      <c r="BV133" s="1944"/>
      <c r="BW133" s="1944"/>
      <c r="BX133" s="1944"/>
      <c r="BY133" s="1951"/>
      <c r="BZ133" s="3052"/>
      <c r="CA133" s="1944"/>
      <c r="CB133" s="1945"/>
      <c r="CC133" s="1944"/>
      <c r="CD133" s="1944"/>
      <c r="CE133" s="2272"/>
      <c r="CF133">
        <f>ROWS($CF$5:CF132)</f>
        <v>128</v>
      </c>
      <c r="CG133" s="1937">
        <v>3.2</v>
      </c>
      <c r="CH133" s="1941" t="s">
        <v>1418</v>
      </c>
      <c r="CI133" s="1938"/>
      <c r="CJ133" s="2706">
        <f t="shared" si="114"/>
        <v>0</v>
      </c>
      <c r="CK133" s="2706">
        <f t="shared" si="102"/>
        <v>0</v>
      </c>
      <c r="CL133" s="2706">
        <f t="shared" si="103"/>
        <v>0</v>
      </c>
      <c r="CM133" s="2706">
        <f t="shared" si="104"/>
        <v>0</v>
      </c>
      <c r="CN133" s="2706">
        <f t="shared" si="105"/>
        <v>0</v>
      </c>
      <c r="CO133" s="2706">
        <f t="shared" si="106"/>
        <v>0</v>
      </c>
      <c r="CP133" s="2706">
        <f t="shared" si="107"/>
        <v>0</v>
      </c>
      <c r="CQ133" s="2718">
        <f t="shared" si="108"/>
        <v>0</v>
      </c>
      <c r="CR133" s="2706">
        <f t="shared" si="109"/>
        <v>0</v>
      </c>
      <c r="CS133" s="2706">
        <f t="shared" si="110"/>
        <v>0</v>
      </c>
      <c r="CT133" s="2708">
        <f t="shared" si="111"/>
        <v>0</v>
      </c>
      <c r="CU133" s="2706">
        <f t="shared" si="112"/>
        <v>0</v>
      </c>
      <c r="CV133" s="2706">
        <f t="shared" si="113"/>
        <v>0</v>
      </c>
      <c r="CX133" s="1937">
        <v>3.2</v>
      </c>
      <c r="CY133" s="1941" t="s">
        <v>1418</v>
      </c>
      <c r="CZ133" s="1938"/>
      <c r="DA133" s="2695">
        <f t="shared" si="115"/>
        <v>0</v>
      </c>
      <c r="DB133" s="2695"/>
      <c r="DC133" s="2695"/>
      <c r="DD133" s="2695"/>
      <c r="DE133" s="2695"/>
      <c r="DF133" s="2695"/>
      <c r="DG133" s="2695"/>
      <c r="DH133" s="2778"/>
      <c r="DI133" s="2695"/>
      <c r="DJ133" s="2695"/>
      <c r="DK133" s="2905"/>
      <c r="DL133" s="2695"/>
      <c r="DM133" s="2695"/>
    </row>
    <row r="134" spans="2:117" hidden="1">
      <c r="B134" s="1916">
        <f t="shared" si="125"/>
        <v>3.3</v>
      </c>
      <c r="C134" s="1938" t="str">
        <f t="shared" si="93"/>
        <v>照明設備</v>
      </c>
      <c r="D134" s="1935" t="e">
        <f t="shared" si="146"/>
        <v>#DIV/0!</v>
      </c>
      <c r="E134" s="1936" t="e">
        <f t="shared" si="146"/>
        <v>#DIV/0!</v>
      </c>
      <c r="G134" s="1936" t="e">
        <f t="shared" si="122"/>
        <v>#DIV/0!</v>
      </c>
      <c r="H134" s="1936" t="e">
        <f t="shared" si="123"/>
        <v>#DIV/0!</v>
      </c>
      <c r="I134" s="1936"/>
      <c r="J134" s="1936"/>
      <c r="K134" s="1936">
        <f>IF(スコア!O134=0,0,1)</f>
        <v>0</v>
      </c>
      <c r="L134" s="1936">
        <f>IF(スコア!R134=0,0,1)</f>
        <v>0</v>
      </c>
      <c r="M134" s="1936" t="e">
        <f t="shared" si="124"/>
        <v>#DIV/0!</v>
      </c>
      <c r="N134" s="1936" t="e">
        <f t="shared" si="132"/>
        <v>#DIV/0!</v>
      </c>
      <c r="P134" s="1937">
        <f t="shared" si="94"/>
        <v>3.3</v>
      </c>
      <c r="Q134" s="1937" t="str">
        <f t="shared" si="95"/>
        <v>LR1 3b</v>
      </c>
      <c r="R134" s="1938" t="str">
        <f t="shared" si="96"/>
        <v>照明設備</v>
      </c>
      <c r="S134" s="2799">
        <f t="shared" si="133"/>
        <v>0</v>
      </c>
      <c r="T134" s="2799">
        <f t="shared" si="134"/>
        <v>0</v>
      </c>
      <c r="U134" s="2799">
        <f t="shared" si="135"/>
        <v>0</v>
      </c>
      <c r="V134" s="2799">
        <f t="shared" si="136"/>
        <v>0</v>
      </c>
      <c r="W134" s="2799">
        <f t="shared" si="137"/>
        <v>0</v>
      </c>
      <c r="X134" s="2799">
        <f t="shared" si="138"/>
        <v>0</v>
      </c>
      <c r="Y134" s="2799">
        <f t="shared" si="139"/>
        <v>0</v>
      </c>
      <c r="Z134" s="2801">
        <f t="shared" si="140"/>
        <v>0</v>
      </c>
      <c r="AA134" s="2799">
        <f t="shared" si="141"/>
        <v>0</v>
      </c>
      <c r="AB134" s="2799">
        <f t="shared" si="142"/>
        <v>0</v>
      </c>
      <c r="AC134" s="2800">
        <f t="shared" si="143"/>
        <v>0</v>
      </c>
      <c r="AD134" s="2799">
        <f t="shared" si="144"/>
        <v>0</v>
      </c>
      <c r="AE134" s="2799">
        <f t="shared" si="145"/>
        <v>0</v>
      </c>
      <c r="AG134" s="1937">
        <v>3.3</v>
      </c>
      <c r="AH134" s="1941" t="s">
        <v>1418</v>
      </c>
      <c r="AI134" s="1938" t="s">
        <v>1272</v>
      </c>
      <c r="AJ134" s="1944"/>
      <c r="AK134" s="1944"/>
      <c r="AL134" s="1944"/>
      <c r="AM134" s="1944"/>
      <c r="AN134" s="1944"/>
      <c r="AO134" s="1944"/>
      <c r="AP134" s="1944"/>
      <c r="AQ134" s="1951"/>
      <c r="AR134" s="1944"/>
      <c r="AS134" s="2125">
        <v>0.2</v>
      </c>
      <c r="AT134" s="1945"/>
      <c r="AU134" s="1944"/>
      <c r="AV134" s="1944"/>
      <c r="AX134" s="1937">
        <v>3.3</v>
      </c>
      <c r="AY134" s="1941" t="s">
        <v>1418</v>
      </c>
      <c r="AZ134" s="1938" t="s">
        <v>1272</v>
      </c>
      <c r="BA134" s="1944"/>
      <c r="BB134" s="1944"/>
      <c r="BC134" s="1944"/>
      <c r="BD134" s="1944"/>
      <c r="BE134" s="1944"/>
      <c r="BF134" s="1944"/>
      <c r="BG134" s="1944"/>
      <c r="BH134" s="1951"/>
      <c r="BI134" s="1944"/>
      <c r="BJ134" s="2125">
        <v>0.2</v>
      </c>
      <c r="BK134" s="1945"/>
      <c r="BL134" s="1944"/>
      <c r="BM134" s="1944"/>
      <c r="BO134" s="1937">
        <v>3.3</v>
      </c>
      <c r="BP134" s="1941" t="s">
        <v>1418</v>
      </c>
      <c r="BQ134" s="1938" t="s">
        <v>1272</v>
      </c>
      <c r="BR134" s="1944"/>
      <c r="BS134" s="1944"/>
      <c r="BT134" s="1944"/>
      <c r="BU134" s="1944"/>
      <c r="BV134" s="1944"/>
      <c r="BW134" s="1944"/>
      <c r="BX134" s="1944"/>
      <c r="BY134" s="1951"/>
      <c r="BZ134" s="3052"/>
      <c r="CA134" s="1944"/>
      <c r="CB134" s="1945"/>
      <c r="CC134" s="1944"/>
      <c r="CD134" s="1944"/>
      <c r="CE134" s="2272"/>
      <c r="CF134">
        <f>ROWS($CF$5:CF133)</f>
        <v>129</v>
      </c>
      <c r="CG134" s="1937">
        <v>3.3</v>
      </c>
      <c r="CH134" s="1941" t="s">
        <v>1418</v>
      </c>
      <c r="CI134" s="1938"/>
      <c r="CJ134" s="2706">
        <f t="shared" si="114"/>
        <v>0</v>
      </c>
      <c r="CK134" s="2706">
        <f t="shared" si="102"/>
        <v>0</v>
      </c>
      <c r="CL134" s="2706">
        <f t="shared" si="103"/>
        <v>0</v>
      </c>
      <c r="CM134" s="2706">
        <f t="shared" si="104"/>
        <v>0</v>
      </c>
      <c r="CN134" s="2706">
        <f t="shared" si="105"/>
        <v>0</v>
      </c>
      <c r="CO134" s="2706">
        <f t="shared" si="106"/>
        <v>0</v>
      </c>
      <c r="CP134" s="2706">
        <f t="shared" si="107"/>
        <v>0</v>
      </c>
      <c r="CQ134" s="2718">
        <f t="shared" si="108"/>
        <v>0</v>
      </c>
      <c r="CR134" s="2706">
        <f t="shared" si="109"/>
        <v>0</v>
      </c>
      <c r="CS134" s="2706">
        <f t="shared" si="110"/>
        <v>0</v>
      </c>
      <c r="CT134" s="2708">
        <f t="shared" si="111"/>
        <v>0</v>
      </c>
      <c r="CU134" s="2706">
        <f t="shared" si="112"/>
        <v>0</v>
      </c>
      <c r="CV134" s="2706">
        <f t="shared" si="113"/>
        <v>0</v>
      </c>
      <c r="CX134" s="1937">
        <v>3.3</v>
      </c>
      <c r="CY134" s="1941" t="s">
        <v>1418</v>
      </c>
      <c r="CZ134" s="1938"/>
      <c r="DA134" s="2695">
        <f t="shared" si="115"/>
        <v>0</v>
      </c>
      <c r="DB134" s="2695"/>
      <c r="DC134" s="2695"/>
      <c r="DD134" s="2695"/>
      <c r="DE134" s="2695"/>
      <c r="DF134" s="2695"/>
      <c r="DG134" s="2695"/>
      <c r="DH134" s="2778"/>
      <c r="DI134" s="2695"/>
      <c r="DJ134" s="2695"/>
      <c r="DK134" s="2905"/>
      <c r="DL134" s="2695"/>
      <c r="DM134" s="2695"/>
    </row>
    <row r="135" spans="2:117" hidden="1">
      <c r="B135" s="1916">
        <f t="shared" si="125"/>
        <v>3.4</v>
      </c>
      <c r="C135" s="1938" t="str">
        <f t="shared" si="93"/>
        <v>給湯設備</v>
      </c>
      <c r="D135" s="1935" t="e">
        <f t="shared" si="146"/>
        <v>#DIV/0!</v>
      </c>
      <c r="E135" s="1936" t="e">
        <f t="shared" si="146"/>
        <v>#DIV/0!</v>
      </c>
      <c r="G135" s="1936" t="e">
        <f t="shared" si="122"/>
        <v>#DIV/0!</v>
      </c>
      <c r="H135" s="1936" t="e">
        <f t="shared" si="123"/>
        <v>#DIV/0!</v>
      </c>
      <c r="I135" s="1936"/>
      <c r="J135" s="1936"/>
      <c r="K135" s="1936">
        <f>IF(スコア!O135=0,0,1)</f>
        <v>0</v>
      </c>
      <c r="L135" s="1936">
        <f>IF(スコア!R135=0,0,1)</f>
        <v>0</v>
      </c>
      <c r="M135" s="1936" t="e">
        <f t="shared" si="124"/>
        <v>#DIV/0!</v>
      </c>
      <c r="N135" s="1936" t="e">
        <f t="shared" si="132"/>
        <v>#DIV/0!</v>
      </c>
      <c r="P135" s="1997">
        <f t="shared" si="94"/>
        <v>3.4</v>
      </c>
      <c r="Q135" s="1937" t="str">
        <f t="shared" si="95"/>
        <v>LR1 3b</v>
      </c>
      <c r="R135" s="1938" t="str">
        <f t="shared" si="96"/>
        <v>給湯設備</v>
      </c>
      <c r="S135" s="2799">
        <f t="shared" si="133"/>
        <v>0</v>
      </c>
      <c r="T135" s="2799">
        <f t="shared" si="134"/>
        <v>0</v>
      </c>
      <c r="U135" s="2799">
        <f t="shared" si="135"/>
        <v>0</v>
      </c>
      <c r="V135" s="2799">
        <f t="shared" si="136"/>
        <v>0</v>
      </c>
      <c r="W135" s="2799">
        <f t="shared" si="137"/>
        <v>0</v>
      </c>
      <c r="X135" s="2799">
        <f t="shared" si="138"/>
        <v>0</v>
      </c>
      <c r="Y135" s="2799">
        <f t="shared" si="139"/>
        <v>0</v>
      </c>
      <c r="Z135" s="2801">
        <f t="shared" si="140"/>
        <v>0</v>
      </c>
      <c r="AA135" s="2799">
        <f t="shared" si="141"/>
        <v>0</v>
      </c>
      <c r="AB135" s="2799">
        <f t="shared" si="142"/>
        <v>0</v>
      </c>
      <c r="AC135" s="2800">
        <f t="shared" si="143"/>
        <v>0</v>
      </c>
      <c r="AD135" s="2799">
        <f t="shared" si="144"/>
        <v>0</v>
      </c>
      <c r="AE135" s="2799">
        <f t="shared" si="145"/>
        <v>0</v>
      </c>
      <c r="AG135" s="1997">
        <v>3.4</v>
      </c>
      <c r="AH135" s="1941" t="s">
        <v>1418</v>
      </c>
      <c r="AI135" s="1938" t="s">
        <v>1273</v>
      </c>
      <c r="AJ135" s="1944"/>
      <c r="AK135" s="1944"/>
      <c r="AL135" s="1944"/>
      <c r="AM135" s="1944"/>
      <c r="AN135" s="1944"/>
      <c r="AO135" s="1944"/>
      <c r="AP135" s="1944"/>
      <c r="AQ135" s="1951"/>
      <c r="AR135" s="1944"/>
      <c r="AS135" s="2125">
        <v>0.05</v>
      </c>
      <c r="AT135" s="1945"/>
      <c r="AU135" s="1944"/>
      <c r="AV135" s="1944"/>
      <c r="AX135" s="1997">
        <v>3.4</v>
      </c>
      <c r="AY135" s="1941" t="s">
        <v>1418</v>
      </c>
      <c r="AZ135" s="1938" t="s">
        <v>1273</v>
      </c>
      <c r="BA135" s="1944"/>
      <c r="BB135" s="1944"/>
      <c r="BC135" s="1944"/>
      <c r="BD135" s="1944"/>
      <c r="BE135" s="1944"/>
      <c r="BF135" s="1944"/>
      <c r="BG135" s="1944"/>
      <c r="BH135" s="1951"/>
      <c r="BI135" s="1944"/>
      <c r="BJ135" s="2125">
        <v>0.05</v>
      </c>
      <c r="BK135" s="1945"/>
      <c r="BL135" s="1944"/>
      <c r="BM135" s="1944"/>
      <c r="BO135" s="1997">
        <v>3.4</v>
      </c>
      <c r="BP135" s="1941" t="s">
        <v>1418</v>
      </c>
      <c r="BQ135" s="1938" t="s">
        <v>1273</v>
      </c>
      <c r="BR135" s="1944"/>
      <c r="BS135" s="1944"/>
      <c r="BT135" s="1944"/>
      <c r="BU135" s="1944"/>
      <c r="BV135" s="1944"/>
      <c r="BW135" s="1944"/>
      <c r="BX135" s="1944"/>
      <c r="BY135" s="1951"/>
      <c r="BZ135" s="3052"/>
      <c r="CA135" s="1944"/>
      <c r="CB135" s="1945"/>
      <c r="CC135" s="1944"/>
      <c r="CD135" s="1944"/>
      <c r="CE135" s="2272"/>
      <c r="CF135">
        <f>ROWS($CF$5:CF134)</f>
        <v>130</v>
      </c>
      <c r="CG135" s="1997">
        <v>3.4</v>
      </c>
      <c r="CH135" s="1941" t="s">
        <v>1418</v>
      </c>
      <c r="CI135" s="1938"/>
      <c r="CJ135" s="2706">
        <f t="shared" si="114"/>
        <v>0</v>
      </c>
      <c r="CK135" s="2706">
        <f t="shared" si="102"/>
        <v>0</v>
      </c>
      <c r="CL135" s="2706">
        <f t="shared" si="103"/>
        <v>0</v>
      </c>
      <c r="CM135" s="2706">
        <f t="shared" si="104"/>
        <v>0</v>
      </c>
      <c r="CN135" s="2706">
        <f t="shared" si="105"/>
        <v>0</v>
      </c>
      <c r="CO135" s="2706">
        <f t="shared" si="106"/>
        <v>0</v>
      </c>
      <c r="CP135" s="2706">
        <f t="shared" si="107"/>
        <v>0</v>
      </c>
      <c r="CQ135" s="2718">
        <f t="shared" si="108"/>
        <v>0</v>
      </c>
      <c r="CR135" s="2706">
        <f t="shared" si="109"/>
        <v>0</v>
      </c>
      <c r="CS135" s="2706">
        <f t="shared" si="110"/>
        <v>0</v>
      </c>
      <c r="CT135" s="2708">
        <f t="shared" si="111"/>
        <v>0</v>
      </c>
      <c r="CU135" s="2706">
        <f t="shared" si="112"/>
        <v>0</v>
      </c>
      <c r="CV135" s="2706">
        <f t="shared" si="113"/>
        <v>0</v>
      </c>
      <c r="CX135" s="1997">
        <v>3.4</v>
      </c>
      <c r="CY135" s="1941" t="s">
        <v>1418</v>
      </c>
      <c r="CZ135" s="1938"/>
      <c r="DA135" s="2695">
        <f t="shared" si="115"/>
        <v>0</v>
      </c>
      <c r="DB135" s="2695"/>
      <c r="DC135" s="2695"/>
      <c r="DD135" s="2695"/>
      <c r="DE135" s="2695"/>
      <c r="DF135" s="2695"/>
      <c r="DG135" s="2695"/>
      <c r="DH135" s="2778"/>
      <c r="DI135" s="2695"/>
      <c r="DJ135" s="2695"/>
      <c r="DK135" s="2905"/>
      <c r="DL135" s="2695"/>
      <c r="DM135" s="2695"/>
    </row>
    <row r="136" spans="2:117" hidden="1">
      <c r="B136" s="1916">
        <f t="shared" si="125"/>
        <v>3.5</v>
      </c>
      <c r="C136" s="1938" t="str">
        <f t="shared" si="93"/>
        <v>昇降機設備</v>
      </c>
      <c r="D136" s="1935" t="e">
        <f t="shared" si="146"/>
        <v>#DIV/0!</v>
      </c>
      <c r="E136" s="1936" t="e">
        <f t="shared" si="146"/>
        <v>#DIV/0!</v>
      </c>
      <c r="G136" s="1936" t="e">
        <f t="shared" si="122"/>
        <v>#DIV/0!</v>
      </c>
      <c r="H136" s="1936" t="e">
        <f t="shared" si="123"/>
        <v>#DIV/0!</v>
      </c>
      <c r="I136" s="1936"/>
      <c r="J136" s="1936"/>
      <c r="K136" s="1936">
        <f>IF(スコア!O136=0,0,1)</f>
        <v>0</v>
      </c>
      <c r="L136" s="1936">
        <f>IF(スコア!R136=0,0,1)</f>
        <v>0</v>
      </c>
      <c r="M136" s="1936" t="e">
        <f t="shared" si="124"/>
        <v>#DIV/0!</v>
      </c>
      <c r="N136" s="1936" t="e">
        <f t="shared" si="132"/>
        <v>#DIV/0!</v>
      </c>
      <c r="P136" s="1997">
        <f t="shared" si="94"/>
        <v>3.5</v>
      </c>
      <c r="Q136" s="1937" t="str">
        <f t="shared" si="95"/>
        <v>LR1 3b</v>
      </c>
      <c r="R136" s="1938" t="str">
        <f t="shared" si="96"/>
        <v>昇降機設備</v>
      </c>
      <c r="S136" s="2799">
        <f t="shared" si="133"/>
        <v>0</v>
      </c>
      <c r="T136" s="2799">
        <f t="shared" si="134"/>
        <v>0</v>
      </c>
      <c r="U136" s="2799">
        <f t="shared" si="135"/>
        <v>0</v>
      </c>
      <c r="V136" s="2799">
        <f t="shared" si="136"/>
        <v>0</v>
      </c>
      <c r="W136" s="2799">
        <f t="shared" si="137"/>
        <v>0</v>
      </c>
      <c r="X136" s="2799">
        <f t="shared" si="138"/>
        <v>0</v>
      </c>
      <c r="Y136" s="2799">
        <f t="shared" si="139"/>
        <v>0</v>
      </c>
      <c r="Z136" s="2801">
        <f t="shared" si="140"/>
        <v>0</v>
      </c>
      <c r="AA136" s="2799">
        <f t="shared" si="141"/>
        <v>0</v>
      </c>
      <c r="AB136" s="2799">
        <f t="shared" si="142"/>
        <v>0</v>
      </c>
      <c r="AC136" s="2800">
        <f t="shared" si="143"/>
        <v>0</v>
      </c>
      <c r="AD136" s="2799">
        <f t="shared" si="144"/>
        <v>0</v>
      </c>
      <c r="AE136" s="2799">
        <f t="shared" si="145"/>
        <v>0</v>
      </c>
      <c r="AG136" s="1997">
        <v>3.5</v>
      </c>
      <c r="AH136" s="1941" t="s">
        <v>1418</v>
      </c>
      <c r="AI136" s="1938" t="s">
        <v>1274</v>
      </c>
      <c r="AJ136" s="1944"/>
      <c r="AK136" s="1944"/>
      <c r="AL136" s="1944"/>
      <c r="AM136" s="1944"/>
      <c r="AN136" s="1944"/>
      <c r="AO136" s="1944"/>
      <c r="AP136" s="1944"/>
      <c r="AQ136" s="1951"/>
      <c r="AR136" s="1944"/>
      <c r="AS136" s="1944"/>
      <c r="AT136" s="1945"/>
      <c r="AU136" s="1944"/>
      <c r="AV136" s="1944"/>
      <c r="AX136" s="1997">
        <v>3.5</v>
      </c>
      <c r="AY136" s="1941" t="s">
        <v>1418</v>
      </c>
      <c r="AZ136" s="1938" t="s">
        <v>1274</v>
      </c>
      <c r="BA136" s="1944"/>
      <c r="BB136" s="1944"/>
      <c r="BC136" s="1944"/>
      <c r="BD136" s="1944"/>
      <c r="BE136" s="1944"/>
      <c r="BF136" s="1944"/>
      <c r="BG136" s="1944"/>
      <c r="BH136" s="1951"/>
      <c r="BI136" s="1944"/>
      <c r="BJ136" s="1944"/>
      <c r="BK136" s="1945"/>
      <c r="BL136" s="1944"/>
      <c r="BM136" s="1944"/>
      <c r="BO136" s="1997">
        <v>3.5</v>
      </c>
      <c r="BP136" s="1941" t="s">
        <v>1418</v>
      </c>
      <c r="BQ136" s="1938" t="s">
        <v>1274</v>
      </c>
      <c r="BR136" s="1944"/>
      <c r="BS136" s="1944"/>
      <c r="BT136" s="1944"/>
      <c r="BU136" s="1944"/>
      <c r="BV136" s="1944"/>
      <c r="BW136" s="1944"/>
      <c r="BX136" s="1944"/>
      <c r="BY136" s="1951"/>
      <c r="BZ136" s="3052"/>
      <c r="CA136" s="1944"/>
      <c r="CB136" s="1945"/>
      <c r="CC136" s="1944"/>
      <c r="CD136" s="1944"/>
      <c r="CE136" s="2272"/>
      <c r="CF136">
        <f>ROWS($CF$5:CF135)</f>
        <v>131</v>
      </c>
      <c r="CG136" s="1997">
        <v>3.5</v>
      </c>
      <c r="CH136" s="1941" t="s">
        <v>1418</v>
      </c>
      <c r="CI136" s="1938"/>
      <c r="CJ136" s="2706">
        <f t="shared" si="114"/>
        <v>0</v>
      </c>
      <c r="CK136" s="2706">
        <f t="shared" si="102"/>
        <v>0</v>
      </c>
      <c r="CL136" s="2706">
        <f t="shared" si="103"/>
        <v>0</v>
      </c>
      <c r="CM136" s="2706">
        <f t="shared" si="104"/>
        <v>0</v>
      </c>
      <c r="CN136" s="2706">
        <f t="shared" si="105"/>
        <v>0</v>
      </c>
      <c r="CO136" s="2706">
        <f t="shared" si="106"/>
        <v>0</v>
      </c>
      <c r="CP136" s="2706">
        <f t="shared" si="107"/>
        <v>0</v>
      </c>
      <c r="CQ136" s="2718">
        <f t="shared" si="108"/>
        <v>0</v>
      </c>
      <c r="CR136" s="2706">
        <f t="shared" si="109"/>
        <v>0</v>
      </c>
      <c r="CS136" s="2706">
        <f t="shared" si="110"/>
        <v>0</v>
      </c>
      <c r="CT136" s="2708">
        <f t="shared" si="111"/>
        <v>0</v>
      </c>
      <c r="CU136" s="2706">
        <f t="shared" si="112"/>
        <v>0</v>
      </c>
      <c r="CV136" s="2706">
        <f t="shared" si="113"/>
        <v>0</v>
      </c>
      <c r="CX136" s="1997">
        <v>3.5</v>
      </c>
      <c r="CY136" s="1941" t="s">
        <v>1418</v>
      </c>
      <c r="CZ136" s="1938"/>
      <c r="DA136" s="2695">
        <f t="shared" si="115"/>
        <v>0</v>
      </c>
      <c r="DB136" s="2695"/>
      <c r="DC136" s="2695"/>
      <c r="DD136" s="2695"/>
      <c r="DE136" s="2695"/>
      <c r="DF136" s="2695"/>
      <c r="DG136" s="2695"/>
      <c r="DH136" s="2778"/>
      <c r="DI136" s="2695"/>
      <c r="DJ136" s="2695"/>
      <c r="DK136" s="2905"/>
      <c r="DL136" s="2695"/>
      <c r="DM136" s="2695"/>
    </row>
    <row r="137" spans="2:117" hidden="1">
      <c r="B137" s="1916">
        <f t="shared" si="125"/>
        <v>0</v>
      </c>
      <c r="C137" s="1938">
        <f t="shared" ref="C137:C194" si="147">R137</f>
        <v>0</v>
      </c>
      <c r="D137" s="1935"/>
      <c r="E137" s="1936"/>
      <c r="G137" s="1936" t="e">
        <f t="shared" si="122"/>
        <v>#DIV/0!</v>
      </c>
      <c r="H137" s="1936" t="e">
        <f t="shared" si="123"/>
        <v>#DIV/0!</v>
      </c>
      <c r="I137" s="1936"/>
      <c r="J137" s="1936"/>
      <c r="K137" s="1936">
        <f>IF(スコア!O137=0,0,1)</f>
        <v>0</v>
      </c>
      <c r="L137" s="1936">
        <f>IF(スコア!R137=0,0,1)</f>
        <v>0</v>
      </c>
      <c r="M137" s="1936" t="e">
        <f t="shared" si="124"/>
        <v>#DIV/0!</v>
      </c>
      <c r="N137" s="1936" t="e">
        <f t="shared" si="132"/>
        <v>#DIV/0!</v>
      </c>
      <c r="P137" s="1997">
        <f t="shared" si="94"/>
        <v>0</v>
      </c>
      <c r="Q137" s="1997" t="str">
        <f t="shared" si="95"/>
        <v>LR</v>
      </c>
      <c r="R137" s="1938">
        <f t="shared" si="96"/>
        <v>0</v>
      </c>
      <c r="S137" s="2799">
        <f t="shared" si="133"/>
        <v>0</v>
      </c>
      <c r="T137" s="2799">
        <f t="shared" si="134"/>
        <v>0</v>
      </c>
      <c r="U137" s="2799">
        <f t="shared" si="135"/>
        <v>0</v>
      </c>
      <c r="V137" s="2799">
        <f t="shared" si="136"/>
        <v>0</v>
      </c>
      <c r="W137" s="2799">
        <f t="shared" si="137"/>
        <v>0</v>
      </c>
      <c r="X137" s="2799">
        <f t="shared" si="138"/>
        <v>0</v>
      </c>
      <c r="Y137" s="2799">
        <f t="shared" si="139"/>
        <v>0</v>
      </c>
      <c r="Z137" s="2801">
        <f t="shared" si="140"/>
        <v>0</v>
      </c>
      <c r="AA137" s="2799">
        <f t="shared" si="141"/>
        <v>0</v>
      </c>
      <c r="AB137" s="2799">
        <f t="shared" si="142"/>
        <v>0</v>
      </c>
      <c r="AC137" s="2800">
        <f t="shared" si="143"/>
        <v>0</v>
      </c>
      <c r="AD137" s="2799">
        <f t="shared" si="144"/>
        <v>0</v>
      </c>
      <c r="AE137" s="2799">
        <f t="shared" si="145"/>
        <v>0</v>
      </c>
      <c r="AG137" s="1997"/>
      <c r="AH137" s="1998" t="s">
        <v>168</v>
      </c>
      <c r="AI137" s="1938"/>
      <c r="AJ137" s="1944"/>
      <c r="AK137" s="1944"/>
      <c r="AL137" s="1944"/>
      <c r="AM137" s="1944"/>
      <c r="AN137" s="1944"/>
      <c r="AO137" s="1944"/>
      <c r="AP137" s="1944"/>
      <c r="AQ137" s="1951"/>
      <c r="AR137" s="1944"/>
      <c r="AS137" s="1944"/>
      <c r="AT137" s="1945"/>
      <c r="AU137" s="1944"/>
      <c r="AV137" s="1944"/>
      <c r="AX137" s="1997"/>
      <c r="AY137" s="1998" t="s">
        <v>168</v>
      </c>
      <c r="AZ137" s="1938"/>
      <c r="BA137" s="1944"/>
      <c r="BB137" s="1944"/>
      <c r="BC137" s="1944"/>
      <c r="BD137" s="1944"/>
      <c r="BE137" s="1944"/>
      <c r="BF137" s="1944"/>
      <c r="BG137" s="1944"/>
      <c r="BH137" s="1951"/>
      <c r="BI137" s="1944"/>
      <c r="BJ137" s="1944"/>
      <c r="BK137" s="1945"/>
      <c r="BL137" s="1944"/>
      <c r="BM137" s="1944"/>
      <c r="BO137" s="1997"/>
      <c r="BP137" s="1998" t="s">
        <v>168</v>
      </c>
      <c r="BQ137" s="1938"/>
      <c r="BR137" s="1944"/>
      <c r="BS137" s="1944"/>
      <c r="BT137" s="1944"/>
      <c r="BU137" s="1944"/>
      <c r="BV137" s="1944"/>
      <c r="BW137" s="1944"/>
      <c r="BX137" s="1944"/>
      <c r="BY137" s="1951"/>
      <c r="BZ137" s="3052"/>
      <c r="CA137" s="1944"/>
      <c r="CB137" s="1945"/>
      <c r="CC137" s="1944"/>
      <c r="CD137" s="1944"/>
      <c r="CE137" s="2272"/>
      <c r="CF137">
        <f>ROWS($CF$5:CF136)</f>
        <v>132</v>
      </c>
      <c r="CG137" s="1997"/>
      <c r="CH137" s="1998" t="s">
        <v>168</v>
      </c>
      <c r="CI137" s="1938"/>
      <c r="CJ137" s="2706">
        <f t="shared" si="114"/>
        <v>0</v>
      </c>
      <c r="CK137" s="2706">
        <f t="shared" si="102"/>
        <v>0</v>
      </c>
      <c r="CL137" s="2706">
        <f t="shared" si="103"/>
        <v>0</v>
      </c>
      <c r="CM137" s="2706">
        <f t="shared" si="104"/>
        <v>0</v>
      </c>
      <c r="CN137" s="2706">
        <f t="shared" si="105"/>
        <v>0</v>
      </c>
      <c r="CO137" s="2706">
        <f t="shared" si="106"/>
        <v>0</v>
      </c>
      <c r="CP137" s="2706">
        <f t="shared" si="107"/>
        <v>0</v>
      </c>
      <c r="CQ137" s="2718">
        <f t="shared" si="108"/>
        <v>0</v>
      </c>
      <c r="CR137" s="2706">
        <f t="shared" si="109"/>
        <v>0</v>
      </c>
      <c r="CS137" s="2706">
        <f t="shared" si="110"/>
        <v>0</v>
      </c>
      <c r="CT137" s="2708">
        <f t="shared" si="111"/>
        <v>0</v>
      </c>
      <c r="CU137" s="2706">
        <f t="shared" si="112"/>
        <v>0</v>
      </c>
      <c r="CV137" s="2706">
        <f t="shared" si="113"/>
        <v>0</v>
      </c>
      <c r="CX137" s="1997"/>
      <c r="CY137" s="1998" t="s">
        <v>168</v>
      </c>
      <c r="CZ137" s="1938"/>
      <c r="DA137" s="2695">
        <f t="shared" si="115"/>
        <v>0</v>
      </c>
      <c r="DB137" s="2695"/>
      <c r="DC137" s="2695"/>
      <c r="DD137" s="2695"/>
      <c r="DE137" s="2695"/>
      <c r="DF137" s="2695"/>
      <c r="DG137" s="2695"/>
      <c r="DH137" s="2778"/>
      <c r="DI137" s="2695"/>
      <c r="DJ137" s="2695"/>
      <c r="DK137" s="2905"/>
      <c r="DL137" s="2695"/>
      <c r="DM137" s="2695"/>
    </row>
    <row r="138" spans="2:117">
      <c r="B138" s="1916">
        <f t="shared" si="125"/>
        <v>4</v>
      </c>
      <c r="C138" s="1928" t="str">
        <f t="shared" si="147"/>
        <v>効率的運用</v>
      </c>
      <c r="D138" s="1924" t="e">
        <f>IF(I$122=0,0,G138/I$122)</f>
        <v>#DIV/0!</v>
      </c>
      <c r="E138" s="1925" t="e">
        <f>IF(J$122=0,0,H138/J$122)</f>
        <v>#DIV/0!</v>
      </c>
      <c r="G138" s="1925" t="e">
        <f t="shared" si="122"/>
        <v>#DIV/0!</v>
      </c>
      <c r="H138" s="1925" t="e">
        <f t="shared" si="123"/>
        <v>#DIV/0!</v>
      </c>
      <c r="I138" s="1925" t="e">
        <f>G139+G142</f>
        <v>#DIV/0!</v>
      </c>
      <c r="J138" s="1925" t="e">
        <f>H139+H142</f>
        <v>#DIV/0!</v>
      </c>
      <c r="K138" s="1925" t="e">
        <f>IF(スコア!O138=0,0,1)</f>
        <v>#DIV/0!</v>
      </c>
      <c r="L138" s="1925" t="e">
        <f>IF(スコア!R138=0,0,1)</f>
        <v>#DIV/0!</v>
      </c>
      <c r="M138" s="1925" t="e">
        <f t="shared" ref="M138:M144" si="148">SUMPRODUCT($S$7:$AB$7,S138:AB138)</f>
        <v>#DIV/0!</v>
      </c>
      <c r="N138" s="1925" t="e">
        <f t="shared" si="132"/>
        <v>#DIV/0!</v>
      </c>
      <c r="P138" s="1995">
        <f t="shared" ref="P138:P194" si="149">IF($P$3=1,AX138,IF($P$3=2,BO138,IF($P$3=3,CG138,IF($P$3=4,CX138,AG138))))</f>
        <v>4</v>
      </c>
      <c r="Q138" s="1927" t="str">
        <f t="shared" ref="Q138:Q194" si="150">IF($P$3=1,AY138,IF($P$3=2,BP138,IF($P$3=3,CH138,IF($P$3=4,CY138,AH138))))</f>
        <v>LR1</v>
      </c>
      <c r="R138" s="1928" t="str">
        <f t="shared" ref="R138:R194" si="151">IF($P$3=1,AZ138,IF($P$3=2,BQ138,IF($P$3=3,CI138,IF($P$3=4,CZ138,AI138))))</f>
        <v>効率的運用</v>
      </c>
      <c r="S138" s="2808">
        <f t="shared" si="133"/>
        <v>0.2</v>
      </c>
      <c r="T138" s="2808">
        <f t="shared" si="134"/>
        <v>0.2</v>
      </c>
      <c r="U138" s="2808">
        <f t="shared" si="135"/>
        <v>0.2</v>
      </c>
      <c r="V138" s="2808">
        <f t="shared" si="136"/>
        <v>0.2</v>
      </c>
      <c r="W138" s="2808">
        <f t="shared" si="137"/>
        <v>0.2</v>
      </c>
      <c r="X138" s="2808">
        <f t="shared" si="138"/>
        <v>0.2</v>
      </c>
      <c r="Y138" s="2808">
        <f t="shared" si="139"/>
        <v>0.2</v>
      </c>
      <c r="Z138" s="2797">
        <f t="shared" si="140"/>
        <v>0.2</v>
      </c>
      <c r="AA138" s="2808">
        <f t="shared" si="141"/>
        <v>0.2</v>
      </c>
      <c r="AB138" s="2808">
        <f t="shared" si="142"/>
        <v>0.2</v>
      </c>
      <c r="AC138" s="2798">
        <f t="shared" si="143"/>
        <v>0</v>
      </c>
      <c r="AD138" s="2796">
        <f t="shared" si="144"/>
        <v>0</v>
      </c>
      <c r="AE138" s="2796">
        <f t="shared" si="145"/>
        <v>0</v>
      </c>
      <c r="AG138" s="1995">
        <v>4</v>
      </c>
      <c r="AH138" s="1931" t="s">
        <v>1779</v>
      </c>
      <c r="AI138" s="1928" t="s">
        <v>1275</v>
      </c>
      <c r="AJ138" s="1980">
        <v>0.2</v>
      </c>
      <c r="AK138" s="1980">
        <v>0.2</v>
      </c>
      <c r="AL138" s="1980">
        <v>0.2</v>
      </c>
      <c r="AM138" s="1980">
        <v>0.2</v>
      </c>
      <c r="AN138" s="1980">
        <v>0.2</v>
      </c>
      <c r="AO138" s="1980">
        <v>0.2</v>
      </c>
      <c r="AP138" s="1980">
        <v>0.2</v>
      </c>
      <c r="AQ138" s="1980">
        <v>0.2</v>
      </c>
      <c r="AR138" s="1980">
        <v>0.25</v>
      </c>
      <c r="AS138" s="1980">
        <v>0.2</v>
      </c>
      <c r="AT138" s="1933"/>
      <c r="AU138" s="1932"/>
      <c r="AV138" s="1932"/>
      <c r="AX138" s="1995">
        <v>4</v>
      </c>
      <c r="AY138" s="1931" t="s">
        <v>1779</v>
      </c>
      <c r="AZ138" s="1928" t="s">
        <v>1275</v>
      </c>
      <c r="BA138" s="1980">
        <v>0.2</v>
      </c>
      <c r="BB138" s="1980">
        <v>0.2</v>
      </c>
      <c r="BC138" s="1980">
        <v>0.2</v>
      </c>
      <c r="BD138" s="1980">
        <v>0.2</v>
      </c>
      <c r="BE138" s="1980">
        <v>0.2</v>
      </c>
      <c r="BF138" s="1980">
        <v>0.2</v>
      </c>
      <c r="BG138" s="1980">
        <v>0.2</v>
      </c>
      <c r="BH138" s="1980">
        <v>0.2</v>
      </c>
      <c r="BI138" s="1980">
        <v>0.2</v>
      </c>
      <c r="BJ138" s="1980">
        <v>0.2</v>
      </c>
      <c r="BK138" s="1933"/>
      <c r="BL138" s="1932"/>
      <c r="BM138" s="1932"/>
      <c r="BO138" s="1995">
        <v>4</v>
      </c>
      <c r="BP138" s="1931" t="s">
        <v>1779</v>
      </c>
      <c r="BQ138" s="1928" t="s">
        <v>1275</v>
      </c>
      <c r="BR138" s="1980">
        <v>0.2</v>
      </c>
      <c r="BS138" s="1980">
        <v>0.2</v>
      </c>
      <c r="BT138" s="1980">
        <v>0.2</v>
      </c>
      <c r="BU138" s="1980">
        <v>0.2</v>
      </c>
      <c r="BV138" s="1980">
        <v>0.2</v>
      </c>
      <c r="BW138" s="1980">
        <v>0.2</v>
      </c>
      <c r="BX138" s="1980">
        <v>0.2</v>
      </c>
      <c r="BY138" s="1980">
        <v>0.2</v>
      </c>
      <c r="BZ138" s="3051">
        <v>0.2</v>
      </c>
      <c r="CA138" s="1980">
        <v>0.2</v>
      </c>
      <c r="CB138" s="1933"/>
      <c r="CC138" s="1932"/>
      <c r="CD138" s="1932"/>
      <c r="CE138" s="2271"/>
      <c r="CF138">
        <f>ROWS($CF$5:CF137)</f>
        <v>133</v>
      </c>
      <c r="CG138" s="1995">
        <v>4</v>
      </c>
      <c r="CH138" s="1931" t="s">
        <v>1779</v>
      </c>
      <c r="CI138" s="1928" t="s">
        <v>1275</v>
      </c>
      <c r="CJ138" s="2716">
        <f t="shared" si="114"/>
        <v>0.2</v>
      </c>
      <c r="CK138" s="2716">
        <f t="shared" si="102"/>
        <v>0.2</v>
      </c>
      <c r="CL138" s="2716">
        <f t="shared" si="103"/>
        <v>0.2</v>
      </c>
      <c r="CM138" s="2716">
        <f t="shared" si="104"/>
        <v>0.2</v>
      </c>
      <c r="CN138" s="2716">
        <f t="shared" si="105"/>
        <v>0.2</v>
      </c>
      <c r="CO138" s="2716">
        <f t="shared" si="106"/>
        <v>0.2</v>
      </c>
      <c r="CP138" s="2716">
        <f t="shared" si="107"/>
        <v>0.2</v>
      </c>
      <c r="CQ138" s="2716">
        <f t="shared" si="108"/>
        <v>0.2</v>
      </c>
      <c r="CR138" s="2716">
        <f t="shared" si="109"/>
        <v>0.2</v>
      </c>
      <c r="CS138" s="2716">
        <f t="shared" si="110"/>
        <v>0.2</v>
      </c>
      <c r="CT138" s="2705">
        <f t="shared" si="111"/>
        <v>0</v>
      </c>
      <c r="CU138" s="2703">
        <f t="shared" si="112"/>
        <v>0</v>
      </c>
      <c r="CV138" s="2703">
        <f t="shared" si="113"/>
        <v>0</v>
      </c>
      <c r="CX138" s="1995">
        <v>4</v>
      </c>
      <c r="CY138" s="1931" t="s">
        <v>1779</v>
      </c>
      <c r="CZ138" s="1928" t="s">
        <v>1275</v>
      </c>
      <c r="DA138" s="2696">
        <f t="shared" si="115"/>
        <v>0.2</v>
      </c>
      <c r="DB138" s="2696"/>
      <c r="DC138" s="2696"/>
      <c r="DD138" s="2696"/>
      <c r="DE138" s="2696"/>
      <c r="DF138" s="2696"/>
      <c r="DG138" s="2696"/>
      <c r="DH138" s="2696"/>
      <c r="DI138" s="2696"/>
      <c r="DJ138" s="2696"/>
      <c r="DK138" s="2694"/>
      <c r="DL138" s="2693"/>
      <c r="DM138" s="2693"/>
    </row>
    <row r="139" spans="2:117">
      <c r="B139" s="1916">
        <f t="shared" si="125"/>
        <v>4.0999999999999996</v>
      </c>
      <c r="C139" s="1938" t="str">
        <f t="shared" si="147"/>
        <v>住宅以外の評価</v>
      </c>
      <c r="D139" s="1935" t="e">
        <f>IF(I$138=0,0,G139/I$138)</f>
        <v>#DIV/0!</v>
      </c>
      <c r="E139" s="1935" t="e">
        <f>IF(J$138=0,0,H139/J$138)</f>
        <v>#DIV/0!</v>
      </c>
      <c r="G139" s="1936" t="e">
        <f t="shared" si="122"/>
        <v>#DIV/0!</v>
      </c>
      <c r="H139" s="1936" t="e">
        <f t="shared" si="123"/>
        <v>#DIV/0!</v>
      </c>
      <c r="I139" s="1936" t="e">
        <f>SUM(G140:G141)</f>
        <v>#DIV/0!</v>
      </c>
      <c r="J139" s="1936" t="e">
        <f>SUM(H140:H141)</f>
        <v>#DIV/0!</v>
      </c>
      <c r="K139" s="1936" t="e">
        <f>IF(スコア!O139=0,0,1)</f>
        <v>#DIV/0!</v>
      </c>
      <c r="L139" s="1936" t="e">
        <f>IF(スコア!R139=0,0,1)</f>
        <v>#DIV/0!</v>
      </c>
      <c r="M139" s="1936" t="e">
        <f t="shared" si="148"/>
        <v>#DIV/0!</v>
      </c>
      <c r="N139" s="1936" t="e">
        <f t="shared" ref="N139:N144" si="152">(AC$7*AC139)+(AD$7*AD139)+(AE$7*AE139)</f>
        <v>#DIV/0!</v>
      </c>
      <c r="P139" s="1937">
        <f t="shared" si="149"/>
        <v>4.0999999999999996</v>
      </c>
      <c r="Q139" s="1937" t="str">
        <f t="shared" si="150"/>
        <v>LR1 4</v>
      </c>
      <c r="R139" s="1938" t="str">
        <f t="shared" si="151"/>
        <v>住宅以外の評価</v>
      </c>
      <c r="S139" s="2799">
        <f t="shared" si="133"/>
        <v>1</v>
      </c>
      <c r="T139" s="2799">
        <f t="shared" si="134"/>
        <v>1</v>
      </c>
      <c r="U139" s="2799">
        <f t="shared" si="135"/>
        <v>1</v>
      </c>
      <c r="V139" s="2799">
        <f t="shared" si="136"/>
        <v>1</v>
      </c>
      <c r="W139" s="2799">
        <f t="shared" si="137"/>
        <v>1</v>
      </c>
      <c r="X139" s="2799">
        <f t="shared" si="138"/>
        <v>1</v>
      </c>
      <c r="Y139" s="2799">
        <f t="shared" si="139"/>
        <v>0</v>
      </c>
      <c r="Z139" s="2801">
        <f t="shared" si="140"/>
        <v>1</v>
      </c>
      <c r="AA139" s="2799">
        <f t="shared" si="141"/>
        <v>1</v>
      </c>
      <c r="AB139" s="2799">
        <f t="shared" si="142"/>
        <v>1</v>
      </c>
      <c r="AC139" s="2800">
        <f t="shared" si="143"/>
        <v>0</v>
      </c>
      <c r="AD139" s="2811">
        <f t="shared" si="144"/>
        <v>0</v>
      </c>
      <c r="AE139" s="2811">
        <f t="shared" si="145"/>
        <v>0</v>
      </c>
      <c r="AG139" s="1937">
        <v>4.0999999999999996</v>
      </c>
      <c r="AH139" s="1941" t="s">
        <v>172</v>
      </c>
      <c r="AI139" s="1938" t="s">
        <v>1626</v>
      </c>
      <c r="AJ139" s="1944">
        <v>1</v>
      </c>
      <c r="AK139" s="1944">
        <v>1</v>
      </c>
      <c r="AL139" s="1944">
        <v>1</v>
      </c>
      <c r="AM139" s="1944">
        <v>1</v>
      </c>
      <c r="AN139" s="1944">
        <v>1</v>
      </c>
      <c r="AO139" s="1944">
        <v>1</v>
      </c>
      <c r="AP139" s="1944"/>
      <c r="AQ139" s="1944">
        <v>1</v>
      </c>
      <c r="AR139" s="1944">
        <v>1</v>
      </c>
      <c r="AS139" s="1944">
        <v>1</v>
      </c>
      <c r="AT139" s="1945"/>
      <c r="AU139" s="1990"/>
      <c r="AV139" s="1990"/>
      <c r="AX139" s="1937">
        <v>4.0999999999999996</v>
      </c>
      <c r="AY139" s="1941" t="s">
        <v>172</v>
      </c>
      <c r="AZ139" s="1938" t="s">
        <v>1626</v>
      </c>
      <c r="BA139" s="1944">
        <v>1</v>
      </c>
      <c r="BB139" s="1944">
        <v>1</v>
      </c>
      <c r="BC139" s="1944">
        <v>1</v>
      </c>
      <c r="BD139" s="1944">
        <v>1</v>
      </c>
      <c r="BE139" s="1944">
        <v>1</v>
      </c>
      <c r="BF139" s="1944">
        <v>1</v>
      </c>
      <c r="BG139" s="1944"/>
      <c r="BH139" s="1944">
        <v>1</v>
      </c>
      <c r="BI139" s="1944">
        <v>1</v>
      </c>
      <c r="BJ139" s="1944">
        <v>1</v>
      </c>
      <c r="BK139" s="1945"/>
      <c r="BL139" s="1990"/>
      <c r="BM139" s="1990"/>
      <c r="BO139" s="1937">
        <v>4.0999999999999996</v>
      </c>
      <c r="BP139" s="1941" t="s">
        <v>172</v>
      </c>
      <c r="BQ139" s="1938" t="s">
        <v>1626</v>
      </c>
      <c r="BR139" s="1944">
        <v>1</v>
      </c>
      <c r="BS139" s="1944">
        <v>1</v>
      </c>
      <c r="BT139" s="1944">
        <v>1</v>
      </c>
      <c r="BU139" s="1944">
        <v>1</v>
      </c>
      <c r="BV139" s="1944">
        <v>1</v>
      </c>
      <c r="BW139" s="1944">
        <v>1</v>
      </c>
      <c r="BX139" s="1944"/>
      <c r="BY139" s="1944">
        <v>1</v>
      </c>
      <c r="BZ139" s="1944">
        <v>1</v>
      </c>
      <c r="CA139" s="1944">
        <v>1</v>
      </c>
      <c r="CB139" s="1945"/>
      <c r="CC139" s="1990"/>
      <c r="CD139" s="1990"/>
      <c r="CE139" s="2275"/>
      <c r="CF139">
        <f>ROWS($CF$5:CF138)</f>
        <v>134</v>
      </c>
      <c r="CG139" s="1937">
        <v>4.0999999999999996</v>
      </c>
      <c r="CH139" s="1941" t="s">
        <v>172</v>
      </c>
      <c r="CI139" s="1938" t="s">
        <v>1626</v>
      </c>
      <c r="CJ139" s="2706">
        <f t="shared" si="114"/>
        <v>1</v>
      </c>
      <c r="CK139" s="2706">
        <f t="shared" si="102"/>
        <v>1</v>
      </c>
      <c r="CL139" s="2706">
        <f t="shared" si="103"/>
        <v>1</v>
      </c>
      <c r="CM139" s="2706">
        <f t="shared" si="104"/>
        <v>1</v>
      </c>
      <c r="CN139" s="2706">
        <f t="shared" si="105"/>
        <v>1</v>
      </c>
      <c r="CO139" s="2706">
        <f t="shared" si="106"/>
        <v>1</v>
      </c>
      <c r="CP139" s="2706">
        <f t="shared" si="107"/>
        <v>0</v>
      </c>
      <c r="CQ139" s="2706">
        <f t="shared" si="108"/>
        <v>1</v>
      </c>
      <c r="CR139" s="2706">
        <f t="shared" si="109"/>
        <v>1</v>
      </c>
      <c r="CS139" s="2706">
        <f t="shared" si="110"/>
        <v>1</v>
      </c>
      <c r="CT139" s="2708">
        <f t="shared" si="111"/>
        <v>0</v>
      </c>
      <c r="CU139" s="2721">
        <f t="shared" si="112"/>
        <v>0</v>
      </c>
      <c r="CV139" s="2721">
        <f t="shared" si="113"/>
        <v>0</v>
      </c>
      <c r="CX139" s="1937">
        <v>4.0999999999999996</v>
      </c>
      <c r="CY139" s="1941" t="s">
        <v>172</v>
      </c>
      <c r="CZ139" s="1938" t="s">
        <v>1626</v>
      </c>
      <c r="DA139" s="2695">
        <f t="shared" si="115"/>
        <v>1</v>
      </c>
      <c r="DB139" s="2695"/>
      <c r="DC139" s="2695"/>
      <c r="DD139" s="2695"/>
      <c r="DE139" s="2695"/>
      <c r="DF139" s="2695"/>
      <c r="DG139" s="2695"/>
      <c r="DH139" s="2695"/>
      <c r="DI139" s="2695"/>
      <c r="DJ139" s="2695"/>
      <c r="DK139" s="2905"/>
      <c r="DL139" s="2698"/>
      <c r="DM139" s="2698"/>
    </row>
    <row r="140" spans="2:117">
      <c r="B140" s="1916" t="str">
        <f>P140</f>
        <v>4.1.1</v>
      </c>
      <c r="C140" s="1938" t="str">
        <f t="shared" si="147"/>
        <v>モニタリング</v>
      </c>
      <c r="D140" s="1935" t="e">
        <f>IF(I$139=0,0,G140/I$139)</f>
        <v>#DIV/0!</v>
      </c>
      <c r="E140" s="1935" t="e">
        <f>IF(J$139=0,0,H140/J$139)</f>
        <v>#DIV/0!</v>
      </c>
      <c r="G140" s="1936" t="e">
        <f t="shared" si="122"/>
        <v>#DIV/0!</v>
      </c>
      <c r="H140" s="1936" t="e">
        <f t="shared" si="123"/>
        <v>#DIV/0!</v>
      </c>
      <c r="I140" s="1936"/>
      <c r="J140" s="1936"/>
      <c r="K140" s="1936">
        <f>IF(スコア!O140=0,0,1)</f>
        <v>1</v>
      </c>
      <c r="L140" s="1936">
        <f>IF(スコア!R140=0,0,1)</f>
        <v>0</v>
      </c>
      <c r="M140" s="1936" t="e">
        <f t="shared" si="148"/>
        <v>#DIV/0!</v>
      </c>
      <c r="N140" s="1936" t="e">
        <f t="shared" si="152"/>
        <v>#DIV/0!</v>
      </c>
      <c r="P140" s="1937" t="str">
        <f t="shared" si="149"/>
        <v>4.1.1</v>
      </c>
      <c r="Q140" s="1937" t="str">
        <f t="shared" si="150"/>
        <v>LR1 4.1</v>
      </c>
      <c r="R140" s="1938" t="str">
        <f t="shared" si="151"/>
        <v>モニタリング</v>
      </c>
      <c r="S140" s="2799">
        <f t="shared" si="133"/>
        <v>0.5</v>
      </c>
      <c r="T140" s="2799">
        <f t="shared" si="134"/>
        <v>0.5</v>
      </c>
      <c r="U140" s="2799">
        <f t="shared" si="135"/>
        <v>0.5</v>
      </c>
      <c r="V140" s="2799">
        <f t="shared" si="136"/>
        <v>0.5</v>
      </c>
      <c r="W140" s="2799">
        <f t="shared" si="137"/>
        <v>0.5</v>
      </c>
      <c r="X140" s="2799">
        <f t="shared" si="138"/>
        <v>0.5</v>
      </c>
      <c r="Y140" s="2799">
        <f t="shared" si="139"/>
        <v>0</v>
      </c>
      <c r="Z140" s="2801">
        <f t="shared" si="140"/>
        <v>0.5</v>
      </c>
      <c r="AA140" s="2799">
        <f t="shared" si="141"/>
        <v>0.5</v>
      </c>
      <c r="AB140" s="2799">
        <f t="shared" si="142"/>
        <v>0.5</v>
      </c>
      <c r="AC140" s="2800">
        <f t="shared" si="143"/>
        <v>0</v>
      </c>
      <c r="AD140" s="2811">
        <f t="shared" si="144"/>
        <v>0</v>
      </c>
      <c r="AE140" s="2811">
        <f t="shared" si="145"/>
        <v>0</v>
      </c>
      <c r="AG140" s="1937" t="s">
        <v>1619</v>
      </c>
      <c r="AH140" s="1941" t="s">
        <v>1623</v>
      </c>
      <c r="AI140" s="1938" t="s">
        <v>1939</v>
      </c>
      <c r="AJ140" s="1944">
        <v>0.5</v>
      </c>
      <c r="AK140" s="1944">
        <v>0.5</v>
      </c>
      <c r="AL140" s="1944">
        <v>0.5</v>
      </c>
      <c r="AM140" s="1944">
        <v>0.5</v>
      </c>
      <c r="AN140" s="1944">
        <v>0.5</v>
      </c>
      <c r="AO140" s="1944">
        <v>0.5</v>
      </c>
      <c r="AP140" s="1944"/>
      <c r="AQ140" s="1944">
        <v>0.5</v>
      </c>
      <c r="AR140" s="1944">
        <v>0.5</v>
      </c>
      <c r="AS140" s="1944">
        <v>0.5</v>
      </c>
      <c r="AT140" s="1945"/>
      <c r="AU140" s="1990"/>
      <c r="AV140" s="1990"/>
      <c r="AX140" s="1937" t="s">
        <v>1619</v>
      </c>
      <c r="AY140" s="1941" t="s">
        <v>1623</v>
      </c>
      <c r="AZ140" s="1938" t="s">
        <v>1939</v>
      </c>
      <c r="BA140" s="1944">
        <v>0.5</v>
      </c>
      <c r="BB140" s="1944">
        <v>0.5</v>
      </c>
      <c r="BC140" s="1944">
        <v>0.5</v>
      </c>
      <c r="BD140" s="1944">
        <v>0.5</v>
      </c>
      <c r="BE140" s="1944">
        <v>0.5</v>
      </c>
      <c r="BF140" s="1944">
        <v>0.5</v>
      </c>
      <c r="BG140" s="1944"/>
      <c r="BH140" s="1944">
        <v>0.5</v>
      </c>
      <c r="BI140" s="1944">
        <v>0.5</v>
      </c>
      <c r="BJ140" s="1944">
        <v>0.5</v>
      </c>
      <c r="BK140" s="1945"/>
      <c r="BL140" s="1990"/>
      <c r="BM140" s="1990"/>
      <c r="BO140" s="1937" t="s">
        <v>1619</v>
      </c>
      <c r="BP140" s="1941" t="s">
        <v>1623</v>
      </c>
      <c r="BQ140" s="1938" t="s">
        <v>1939</v>
      </c>
      <c r="BR140" s="1944">
        <v>0.5</v>
      </c>
      <c r="BS140" s="1944">
        <v>0.5</v>
      </c>
      <c r="BT140" s="1944">
        <v>0.5</v>
      </c>
      <c r="BU140" s="1944">
        <v>0.5</v>
      </c>
      <c r="BV140" s="1944">
        <v>0.5</v>
      </c>
      <c r="BW140" s="1944">
        <v>0.5</v>
      </c>
      <c r="BX140" s="1944"/>
      <c r="BY140" s="1944">
        <v>0.5</v>
      </c>
      <c r="BZ140" s="1944">
        <v>0.5</v>
      </c>
      <c r="CA140" s="1944">
        <v>0.5</v>
      </c>
      <c r="CB140" s="1945"/>
      <c r="CC140" s="1990"/>
      <c r="CD140" s="1990"/>
      <c r="CE140" s="2275"/>
      <c r="CG140" s="1937" t="s">
        <v>1619</v>
      </c>
      <c r="CH140" s="1941" t="s">
        <v>1623</v>
      </c>
      <c r="CI140" s="1938" t="s">
        <v>1939</v>
      </c>
      <c r="CJ140" s="2706">
        <f t="shared" si="114"/>
        <v>0.5</v>
      </c>
      <c r="CK140" s="2706">
        <f t="shared" si="102"/>
        <v>0.5</v>
      </c>
      <c r="CL140" s="2706">
        <f t="shared" si="103"/>
        <v>0.5</v>
      </c>
      <c r="CM140" s="2706">
        <f t="shared" si="104"/>
        <v>0.5</v>
      </c>
      <c r="CN140" s="2706">
        <f t="shared" si="105"/>
        <v>0.5</v>
      </c>
      <c r="CO140" s="2706">
        <f t="shared" si="106"/>
        <v>0.5</v>
      </c>
      <c r="CP140" s="2706">
        <f t="shared" si="107"/>
        <v>0</v>
      </c>
      <c r="CQ140" s="2706">
        <f t="shared" si="108"/>
        <v>0.5</v>
      </c>
      <c r="CR140" s="2706">
        <f t="shared" si="109"/>
        <v>0.5</v>
      </c>
      <c r="CS140" s="2706">
        <f t="shared" si="110"/>
        <v>0.5</v>
      </c>
      <c r="CT140" s="2708">
        <f t="shared" si="111"/>
        <v>0</v>
      </c>
      <c r="CU140" s="2721">
        <f t="shared" si="112"/>
        <v>0</v>
      </c>
      <c r="CV140" s="2721">
        <f t="shared" si="113"/>
        <v>0</v>
      </c>
      <c r="CX140" s="1937" t="s">
        <v>1619</v>
      </c>
      <c r="CY140" s="1941" t="s">
        <v>1623</v>
      </c>
      <c r="CZ140" s="1938" t="s">
        <v>1939</v>
      </c>
      <c r="DA140" s="2695">
        <f t="shared" ref="DA140:DA190" si="153">BR140</f>
        <v>0.5</v>
      </c>
      <c r="DB140" s="2695"/>
      <c r="DC140" s="2695"/>
      <c r="DD140" s="2695"/>
      <c r="DE140" s="2695"/>
      <c r="DF140" s="2695"/>
      <c r="DG140" s="2695"/>
      <c r="DH140" s="2695"/>
      <c r="DI140" s="2695"/>
      <c r="DJ140" s="2695"/>
      <c r="DK140" s="2905"/>
      <c r="DL140" s="2698"/>
      <c r="DM140" s="2698"/>
    </row>
    <row r="141" spans="2:117">
      <c r="B141" s="1916" t="str">
        <f>P141</f>
        <v>4.1.2</v>
      </c>
      <c r="C141" s="1938" t="str">
        <f t="shared" si="147"/>
        <v>運用管理体制</v>
      </c>
      <c r="D141" s="1926" t="e">
        <f>IF(I$139&gt;0,G141/I$139,0)</f>
        <v>#DIV/0!</v>
      </c>
      <c r="E141" s="1926" t="e">
        <f>IF(J$139&gt;0,H141/J$139,0)</f>
        <v>#DIV/0!</v>
      </c>
      <c r="G141" s="1936" t="e">
        <f t="shared" si="122"/>
        <v>#DIV/0!</v>
      </c>
      <c r="H141" s="1936" t="e">
        <f t="shared" si="123"/>
        <v>#DIV/0!</v>
      </c>
      <c r="I141" s="1936"/>
      <c r="J141" s="1936"/>
      <c r="K141" s="1936">
        <f>IF(スコア!O141=0,0,1)</f>
        <v>1</v>
      </c>
      <c r="L141" s="1936">
        <f>IF(スコア!R141=0,0,1)</f>
        <v>0</v>
      </c>
      <c r="M141" s="1936" t="e">
        <f t="shared" si="148"/>
        <v>#DIV/0!</v>
      </c>
      <c r="N141" s="1936" t="e">
        <f t="shared" si="152"/>
        <v>#DIV/0!</v>
      </c>
      <c r="P141" s="1937" t="str">
        <f t="shared" si="149"/>
        <v>4.1.2</v>
      </c>
      <c r="Q141" s="1937" t="str">
        <f t="shared" si="150"/>
        <v>LR1 4.1</v>
      </c>
      <c r="R141" s="1938" t="str">
        <f t="shared" si="151"/>
        <v>運用管理体制</v>
      </c>
      <c r="S141" s="2799">
        <f t="shared" si="133"/>
        <v>0.5</v>
      </c>
      <c r="T141" s="2799">
        <f t="shared" si="134"/>
        <v>0.5</v>
      </c>
      <c r="U141" s="2799">
        <f t="shared" si="135"/>
        <v>0.5</v>
      </c>
      <c r="V141" s="2799">
        <f t="shared" si="136"/>
        <v>0.5</v>
      </c>
      <c r="W141" s="2799">
        <f t="shared" si="137"/>
        <v>0.5</v>
      </c>
      <c r="X141" s="2799">
        <f t="shared" si="138"/>
        <v>0.5</v>
      </c>
      <c r="Y141" s="2799">
        <f t="shared" si="139"/>
        <v>0</v>
      </c>
      <c r="Z141" s="2801">
        <f t="shared" si="140"/>
        <v>0.5</v>
      </c>
      <c r="AA141" s="2799">
        <f t="shared" si="141"/>
        <v>0.5</v>
      </c>
      <c r="AB141" s="2799">
        <f t="shared" si="142"/>
        <v>0.5</v>
      </c>
      <c r="AC141" s="2800">
        <f t="shared" si="143"/>
        <v>0</v>
      </c>
      <c r="AD141" s="2811">
        <f t="shared" si="144"/>
        <v>0</v>
      </c>
      <c r="AE141" s="2811">
        <f t="shared" si="145"/>
        <v>0</v>
      </c>
      <c r="AG141" s="1937" t="s">
        <v>1620</v>
      </c>
      <c r="AH141" s="1941" t="s">
        <v>1624</v>
      </c>
      <c r="AI141" s="1942" t="s">
        <v>1276</v>
      </c>
      <c r="AJ141" s="1944">
        <v>0.5</v>
      </c>
      <c r="AK141" s="1944">
        <v>0.5</v>
      </c>
      <c r="AL141" s="1944">
        <v>0.5</v>
      </c>
      <c r="AM141" s="1944">
        <v>0.5</v>
      </c>
      <c r="AN141" s="1944">
        <v>0.5</v>
      </c>
      <c r="AO141" s="1944">
        <v>0.5</v>
      </c>
      <c r="AP141" s="1944"/>
      <c r="AQ141" s="1944">
        <v>0.5</v>
      </c>
      <c r="AR141" s="1944">
        <v>0.5</v>
      </c>
      <c r="AS141" s="1944">
        <v>0.5</v>
      </c>
      <c r="AT141" s="1945"/>
      <c r="AU141" s="1990"/>
      <c r="AV141" s="1990"/>
      <c r="AX141" s="1937" t="s">
        <v>1620</v>
      </c>
      <c r="AY141" s="1941" t="s">
        <v>1624</v>
      </c>
      <c r="AZ141" s="1942" t="s">
        <v>1276</v>
      </c>
      <c r="BA141" s="1944">
        <v>0.5</v>
      </c>
      <c r="BB141" s="1944">
        <v>0.5</v>
      </c>
      <c r="BC141" s="1944">
        <v>0.5</v>
      </c>
      <c r="BD141" s="1944">
        <v>0.5</v>
      </c>
      <c r="BE141" s="1944">
        <v>0.5</v>
      </c>
      <c r="BF141" s="1944">
        <v>0.5</v>
      </c>
      <c r="BG141" s="1944"/>
      <c r="BH141" s="1944">
        <v>0.5</v>
      </c>
      <c r="BI141" s="1944">
        <v>0.5</v>
      </c>
      <c r="BJ141" s="1944">
        <v>0.5</v>
      </c>
      <c r="BK141" s="1945"/>
      <c r="BL141" s="1990"/>
      <c r="BM141" s="1990"/>
      <c r="BO141" s="1937" t="s">
        <v>1620</v>
      </c>
      <c r="BP141" s="1941" t="s">
        <v>1624</v>
      </c>
      <c r="BQ141" s="1942" t="s">
        <v>1276</v>
      </c>
      <c r="BR141" s="1944">
        <v>0.5</v>
      </c>
      <c r="BS141" s="1944">
        <v>0.5</v>
      </c>
      <c r="BT141" s="1944">
        <v>0.5</v>
      </c>
      <c r="BU141" s="1944">
        <v>0.5</v>
      </c>
      <c r="BV141" s="1944">
        <v>0.5</v>
      </c>
      <c r="BW141" s="1944">
        <v>0.5</v>
      </c>
      <c r="BX141" s="1944"/>
      <c r="BY141" s="1944">
        <v>0.5</v>
      </c>
      <c r="BZ141" s="1944">
        <v>0.5</v>
      </c>
      <c r="CA141" s="1944">
        <v>0.5</v>
      </c>
      <c r="CB141" s="1945"/>
      <c r="CC141" s="1990"/>
      <c r="CD141" s="1990"/>
      <c r="CE141" s="2275"/>
      <c r="CG141" s="1937" t="s">
        <v>1620</v>
      </c>
      <c r="CH141" s="1941" t="s">
        <v>1623</v>
      </c>
      <c r="CI141" s="1942" t="s">
        <v>1276</v>
      </c>
      <c r="CJ141" s="2706">
        <f t="shared" si="114"/>
        <v>0.5</v>
      </c>
      <c r="CK141" s="2706">
        <f t="shared" si="102"/>
        <v>0.5</v>
      </c>
      <c r="CL141" s="2706">
        <f t="shared" si="103"/>
        <v>0.5</v>
      </c>
      <c r="CM141" s="2706">
        <f t="shared" si="104"/>
        <v>0.5</v>
      </c>
      <c r="CN141" s="2706">
        <f t="shared" si="105"/>
        <v>0.5</v>
      </c>
      <c r="CO141" s="2706">
        <f t="shared" si="106"/>
        <v>0.5</v>
      </c>
      <c r="CP141" s="2706">
        <f t="shared" si="107"/>
        <v>0</v>
      </c>
      <c r="CQ141" s="2706">
        <f t="shared" si="108"/>
        <v>0.5</v>
      </c>
      <c r="CR141" s="2706">
        <f t="shared" si="109"/>
        <v>0.5</v>
      </c>
      <c r="CS141" s="2706">
        <f t="shared" si="110"/>
        <v>0.5</v>
      </c>
      <c r="CT141" s="2708">
        <f t="shared" si="111"/>
        <v>0</v>
      </c>
      <c r="CU141" s="2721">
        <f t="shared" si="112"/>
        <v>0</v>
      </c>
      <c r="CV141" s="2721">
        <f t="shared" si="113"/>
        <v>0</v>
      </c>
      <c r="CX141" s="1937" t="s">
        <v>1620</v>
      </c>
      <c r="CY141" s="1941" t="s">
        <v>1623</v>
      </c>
      <c r="CZ141" s="1942" t="s">
        <v>1276</v>
      </c>
      <c r="DA141" s="2695">
        <f t="shared" si="153"/>
        <v>0.5</v>
      </c>
      <c r="DB141" s="2695"/>
      <c r="DC141" s="2695"/>
      <c r="DD141" s="2695"/>
      <c r="DE141" s="2695"/>
      <c r="DF141" s="2695"/>
      <c r="DG141" s="2695"/>
      <c r="DH141" s="2695"/>
      <c r="DI141" s="2695"/>
      <c r="DJ141" s="2695"/>
      <c r="DK141" s="2905"/>
      <c r="DL141" s="2698"/>
      <c r="DM141" s="2698"/>
    </row>
    <row r="142" spans="2:117">
      <c r="B142" s="1916">
        <f>P142</f>
        <v>4.2</v>
      </c>
      <c r="C142" s="1938" t="str">
        <f t="shared" si="147"/>
        <v>住宅の評価</v>
      </c>
      <c r="D142" s="1935" t="e">
        <f>IF(I$138=0,0,G142/I$138)</f>
        <v>#DIV/0!</v>
      </c>
      <c r="E142" s="1935" t="e">
        <f>IF(J$138=0,0,H142/J$138)</f>
        <v>#DIV/0!</v>
      </c>
      <c r="G142" s="1936" t="e">
        <f t="shared" ref="G142:H144" si="154">K142*M142</f>
        <v>#DIV/0!</v>
      </c>
      <c r="H142" s="1936" t="e">
        <f t="shared" si="154"/>
        <v>#DIV/0!</v>
      </c>
      <c r="I142" s="1936" t="e">
        <f>SUM(G143:G144)</f>
        <v>#DIV/0!</v>
      </c>
      <c r="J142" s="1936" t="e">
        <f>SUM(H143:H144)</f>
        <v>#DIV/0!</v>
      </c>
      <c r="K142" s="1936" t="e">
        <f>IF(スコア!O142=0,0,1)</f>
        <v>#DIV/0!</v>
      </c>
      <c r="L142" s="1936" t="e">
        <f>IF(スコア!R142=0,0,1)</f>
        <v>#DIV/0!</v>
      </c>
      <c r="M142" s="1936" t="e">
        <f t="shared" si="148"/>
        <v>#DIV/0!</v>
      </c>
      <c r="N142" s="1936" t="e">
        <f t="shared" si="152"/>
        <v>#DIV/0!</v>
      </c>
      <c r="P142" s="1937">
        <f t="shared" si="149"/>
        <v>4.2</v>
      </c>
      <c r="Q142" s="1937" t="str">
        <f t="shared" si="150"/>
        <v>LR1 4</v>
      </c>
      <c r="R142" s="1938" t="str">
        <f t="shared" si="151"/>
        <v>住宅の評価</v>
      </c>
      <c r="S142" s="2799">
        <f t="shared" si="133"/>
        <v>0</v>
      </c>
      <c r="T142" s="2799">
        <f t="shared" si="134"/>
        <v>0</v>
      </c>
      <c r="U142" s="2799">
        <f t="shared" si="135"/>
        <v>0</v>
      </c>
      <c r="V142" s="2799">
        <f t="shared" si="136"/>
        <v>0</v>
      </c>
      <c r="W142" s="2799">
        <f t="shared" si="137"/>
        <v>0</v>
      </c>
      <c r="X142" s="2799">
        <f t="shared" si="138"/>
        <v>0</v>
      </c>
      <c r="Y142" s="2799">
        <f t="shared" si="139"/>
        <v>1</v>
      </c>
      <c r="Z142" s="2801">
        <f t="shared" si="140"/>
        <v>0</v>
      </c>
      <c r="AA142" s="2799">
        <f t="shared" si="141"/>
        <v>0</v>
      </c>
      <c r="AB142" s="2799">
        <f t="shared" si="142"/>
        <v>0</v>
      </c>
      <c r="AC142" s="2800">
        <f t="shared" si="143"/>
        <v>0</v>
      </c>
      <c r="AD142" s="2811">
        <f t="shared" si="144"/>
        <v>0</v>
      </c>
      <c r="AE142" s="2811">
        <f t="shared" si="145"/>
        <v>0</v>
      </c>
      <c r="AG142" s="1937">
        <v>4.2</v>
      </c>
      <c r="AH142" s="1941" t="s">
        <v>172</v>
      </c>
      <c r="AI142" s="1942" t="s">
        <v>1627</v>
      </c>
      <c r="AJ142" s="1944"/>
      <c r="AK142" s="1944"/>
      <c r="AL142" s="1944"/>
      <c r="AM142" s="1944"/>
      <c r="AN142" s="1944"/>
      <c r="AO142" s="1944"/>
      <c r="AP142" s="1944">
        <v>1</v>
      </c>
      <c r="AQ142" s="1951"/>
      <c r="AR142" s="1944"/>
      <c r="AS142" s="1944"/>
      <c r="AT142" s="1945"/>
      <c r="AU142" s="1990"/>
      <c r="AV142" s="1990"/>
      <c r="AX142" s="1937">
        <v>4.2</v>
      </c>
      <c r="AY142" s="1941" t="s">
        <v>172</v>
      </c>
      <c r="AZ142" s="1942" t="s">
        <v>1627</v>
      </c>
      <c r="BA142" s="1944"/>
      <c r="BB142" s="1944"/>
      <c r="BC142" s="1944"/>
      <c r="BD142" s="1944"/>
      <c r="BE142" s="1944"/>
      <c r="BF142" s="1944"/>
      <c r="BG142" s="1944">
        <v>1</v>
      </c>
      <c r="BH142" s="1951"/>
      <c r="BI142" s="1944"/>
      <c r="BJ142" s="1944"/>
      <c r="BK142" s="1945"/>
      <c r="BL142" s="1990"/>
      <c r="BM142" s="1990"/>
      <c r="BO142" s="1937">
        <v>4.2</v>
      </c>
      <c r="BP142" s="1941" t="s">
        <v>172</v>
      </c>
      <c r="BQ142" s="1942" t="s">
        <v>1627</v>
      </c>
      <c r="BR142" s="1944"/>
      <c r="BS142" s="1944"/>
      <c r="BT142" s="1944"/>
      <c r="BU142" s="1944"/>
      <c r="BV142" s="1944"/>
      <c r="BW142" s="1944"/>
      <c r="BX142" s="1944">
        <v>1</v>
      </c>
      <c r="BY142" s="1951"/>
      <c r="BZ142" s="1944"/>
      <c r="CA142" s="1944"/>
      <c r="CB142" s="1945"/>
      <c r="CC142" s="1990"/>
      <c r="CD142" s="1990"/>
      <c r="CE142" s="2275"/>
      <c r="CG142" s="1937">
        <v>4.2</v>
      </c>
      <c r="CH142" s="1941" t="s">
        <v>172</v>
      </c>
      <c r="CI142" s="1942" t="s">
        <v>1627</v>
      </c>
      <c r="CJ142" s="2706">
        <f t="shared" si="114"/>
        <v>0</v>
      </c>
      <c r="CK142" s="2706">
        <f t="shared" ref="CK142:CK194" si="155">BS142</f>
        <v>0</v>
      </c>
      <c r="CL142" s="2706">
        <f t="shared" ref="CL142:CL194" si="156">BT142</f>
        <v>0</v>
      </c>
      <c r="CM142" s="2706">
        <f t="shared" ref="CM142:CM194" si="157">BU142</f>
        <v>0</v>
      </c>
      <c r="CN142" s="2706">
        <f t="shared" ref="CN142:CN194" si="158">BV142</f>
        <v>0</v>
      </c>
      <c r="CO142" s="2706">
        <f t="shared" ref="CO142:CO194" si="159">BW142</f>
        <v>0</v>
      </c>
      <c r="CP142" s="2706">
        <f t="shared" ref="CP142:CP194" si="160">BX142</f>
        <v>1</v>
      </c>
      <c r="CQ142" s="2718">
        <f t="shared" ref="CQ142:CQ194" si="161">BY142</f>
        <v>0</v>
      </c>
      <c r="CR142" s="2706">
        <f t="shared" ref="CR142:CR194" si="162">BZ142</f>
        <v>0</v>
      </c>
      <c r="CS142" s="2706">
        <f t="shared" ref="CS142:CS194" si="163">CA142</f>
        <v>0</v>
      </c>
      <c r="CT142" s="2708">
        <f t="shared" ref="CT142:CT194" si="164">CB142</f>
        <v>0</v>
      </c>
      <c r="CU142" s="2721">
        <f t="shared" ref="CU142:CU194" si="165">CC142</f>
        <v>0</v>
      </c>
      <c r="CV142" s="2721">
        <f t="shared" ref="CV142:CV194" si="166">CD142</f>
        <v>0</v>
      </c>
      <c r="CX142" s="1937">
        <v>4.2</v>
      </c>
      <c r="CY142" s="1941" t="s">
        <v>172</v>
      </c>
      <c r="CZ142" s="1942" t="s">
        <v>1627</v>
      </c>
      <c r="DA142" s="2695">
        <f t="shared" si="153"/>
        <v>0</v>
      </c>
      <c r="DB142" s="2695"/>
      <c r="DC142" s="2695"/>
      <c r="DD142" s="2695"/>
      <c r="DE142" s="2695"/>
      <c r="DF142" s="2695"/>
      <c r="DG142" s="2695"/>
      <c r="DH142" s="2778"/>
      <c r="DI142" s="2695"/>
      <c r="DJ142" s="2695"/>
      <c r="DK142" s="2905"/>
      <c r="DL142" s="2698"/>
      <c r="DM142" s="2698"/>
    </row>
    <row r="143" spans="2:117">
      <c r="B143" s="1916" t="str">
        <f>P143</f>
        <v>4.2.1</v>
      </c>
      <c r="C143" s="1938" t="str">
        <f t="shared" si="147"/>
        <v>モニタリング</v>
      </c>
      <c r="D143" s="1926" t="e">
        <f>IF(I$142&gt;0,G143/I$142,0)</f>
        <v>#DIV/0!</v>
      </c>
      <c r="E143" s="1926" t="e">
        <f>IF(J$142&gt;0,H143/J$142,0)</f>
        <v>#DIV/0!</v>
      </c>
      <c r="G143" s="1936" t="e">
        <f t="shared" si="154"/>
        <v>#DIV/0!</v>
      </c>
      <c r="H143" s="1936" t="e">
        <f t="shared" si="154"/>
        <v>#DIV/0!</v>
      </c>
      <c r="I143" s="1936"/>
      <c r="J143" s="1936"/>
      <c r="K143" s="1936">
        <f>IF(スコア!O143=0,0,1)</f>
        <v>1</v>
      </c>
      <c r="L143" s="1936">
        <f>IF(スコア!R143=0,0,1)</f>
        <v>0</v>
      </c>
      <c r="M143" s="1936" t="e">
        <f t="shared" si="148"/>
        <v>#DIV/0!</v>
      </c>
      <c r="N143" s="1936" t="e">
        <f t="shared" si="152"/>
        <v>#DIV/0!</v>
      </c>
      <c r="P143" s="1937" t="str">
        <f t="shared" si="149"/>
        <v>4.2.1</v>
      </c>
      <c r="Q143" s="1937" t="str">
        <f t="shared" si="150"/>
        <v>LR1 4.2</v>
      </c>
      <c r="R143" s="1938" t="str">
        <f t="shared" si="151"/>
        <v>モニタリング</v>
      </c>
      <c r="S143" s="2799">
        <f t="shared" si="133"/>
        <v>0</v>
      </c>
      <c r="T143" s="2799">
        <f t="shared" si="134"/>
        <v>0</v>
      </c>
      <c r="U143" s="2799">
        <f t="shared" si="135"/>
        <v>0</v>
      </c>
      <c r="V143" s="2799">
        <f t="shared" si="136"/>
        <v>0</v>
      </c>
      <c r="W143" s="2799">
        <f t="shared" si="137"/>
        <v>0</v>
      </c>
      <c r="X143" s="2799">
        <f t="shared" si="138"/>
        <v>0</v>
      </c>
      <c r="Y143" s="2799">
        <f t="shared" si="139"/>
        <v>0.5</v>
      </c>
      <c r="Z143" s="2801">
        <f t="shared" si="140"/>
        <v>0</v>
      </c>
      <c r="AA143" s="2799">
        <f t="shared" si="141"/>
        <v>0</v>
      </c>
      <c r="AB143" s="2799">
        <f t="shared" si="142"/>
        <v>0</v>
      </c>
      <c r="AC143" s="2800">
        <f t="shared" si="143"/>
        <v>0</v>
      </c>
      <c r="AD143" s="2811">
        <f t="shared" si="144"/>
        <v>0</v>
      </c>
      <c r="AE143" s="2811">
        <f t="shared" si="145"/>
        <v>0</v>
      </c>
      <c r="AG143" s="1937" t="s">
        <v>1621</v>
      </c>
      <c r="AH143" s="1941" t="s">
        <v>1625</v>
      </c>
      <c r="AI143" s="1942" t="s">
        <v>1613</v>
      </c>
      <c r="AJ143" s="1944"/>
      <c r="AK143" s="1944"/>
      <c r="AL143" s="1944"/>
      <c r="AM143" s="1944"/>
      <c r="AN143" s="1944"/>
      <c r="AO143" s="1944"/>
      <c r="AP143" s="1944">
        <v>0.5</v>
      </c>
      <c r="AQ143" s="1951"/>
      <c r="AR143" s="1944"/>
      <c r="AS143" s="1944"/>
      <c r="AT143" s="1945"/>
      <c r="AU143" s="1990"/>
      <c r="AV143" s="1990"/>
      <c r="AX143" s="1937" t="s">
        <v>1621</v>
      </c>
      <c r="AY143" s="1941" t="s">
        <v>1625</v>
      </c>
      <c r="AZ143" s="1942" t="s">
        <v>1017</v>
      </c>
      <c r="BA143" s="1944"/>
      <c r="BB143" s="1944"/>
      <c r="BC143" s="1944"/>
      <c r="BD143" s="1944"/>
      <c r="BE143" s="1944"/>
      <c r="BF143" s="1944"/>
      <c r="BG143" s="1944">
        <v>0.5</v>
      </c>
      <c r="BH143" s="1951"/>
      <c r="BI143" s="1944"/>
      <c r="BJ143" s="1944"/>
      <c r="BK143" s="1945"/>
      <c r="BL143" s="1990"/>
      <c r="BM143" s="1990"/>
      <c r="BO143" s="1937" t="s">
        <v>1621</v>
      </c>
      <c r="BP143" s="1941" t="s">
        <v>1625</v>
      </c>
      <c r="BQ143" s="1942" t="s">
        <v>1017</v>
      </c>
      <c r="BR143" s="1944"/>
      <c r="BS143" s="1944"/>
      <c r="BT143" s="1944"/>
      <c r="BU143" s="1944"/>
      <c r="BV143" s="1944"/>
      <c r="BW143" s="1944"/>
      <c r="BX143" s="1944">
        <v>0.5</v>
      </c>
      <c r="BY143" s="1951"/>
      <c r="BZ143" s="1944"/>
      <c r="CA143" s="1944"/>
      <c r="CB143" s="1945"/>
      <c r="CC143" s="1990"/>
      <c r="CD143" s="1990"/>
      <c r="CE143" s="2275"/>
      <c r="CG143" s="1937" t="s">
        <v>1621</v>
      </c>
      <c r="CH143" s="1941" t="s">
        <v>1625</v>
      </c>
      <c r="CI143" s="1942" t="s">
        <v>1017</v>
      </c>
      <c r="CJ143" s="2706">
        <f t="shared" ref="CJ143:CJ194" si="167">BR143</f>
        <v>0</v>
      </c>
      <c r="CK143" s="2706">
        <f t="shared" si="155"/>
        <v>0</v>
      </c>
      <c r="CL143" s="2706">
        <f t="shared" si="156"/>
        <v>0</v>
      </c>
      <c r="CM143" s="2706">
        <f t="shared" si="157"/>
        <v>0</v>
      </c>
      <c r="CN143" s="2706">
        <f t="shared" si="158"/>
        <v>0</v>
      </c>
      <c r="CO143" s="2706">
        <f t="shared" si="159"/>
        <v>0</v>
      </c>
      <c r="CP143" s="2706">
        <f t="shared" si="160"/>
        <v>0.5</v>
      </c>
      <c r="CQ143" s="2718">
        <f t="shared" si="161"/>
        <v>0</v>
      </c>
      <c r="CR143" s="2706">
        <f t="shared" si="162"/>
        <v>0</v>
      </c>
      <c r="CS143" s="2706">
        <f t="shared" si="163"/>
        <v>0</v>
      </c>
      <c r="CT143" s="2708">
        <f t="shared" si="164"/>
        <v>0</v>
      </c>
      <c r="CU143" s="2721">
        <f t="shared" si="165"/>
        <v>0</v>
      </c>
      <c r="CV143" s="2721">
        <f t="shared" si="166"/>
        <v>0</v>
      </c>
      <c r="CX143" s="1937" t="s">
        <v>1621</v>
      </c>
      <c r="CY143" s="1941" t="s">
        <v>1625</v>
      </c>
      <c r="CZ143" s="1942" t="s">
        <v>1017</v>
      </c>
      <c r="DA143" s="2695">
        <f t="shared" si="153"/>
        <v>0</v>
      </c>
      <c r="DB143" s="2695"/>
      <c r="DC143" s="2695"/>
      <c r="DD143" s="2695"/>
      <c r="DE143" s="2695"/>
      <c r="DF143" s="2695"/>
      <c r="DG143" s="2695"/>
      <c r="DH143" s="2778"/>
      <c r="DI143" s="2695"/>
      <c r="DJ143" s="2695"/>
      <c r="DK143" s="2905"/>
      <c r="DL143" s="2698"/>
      <c r="DM143" s="2698"/>
    </row>
    <row r="144" spans="2:117">
      <c r="B144" s="1916" t="str">
        <f>P144</f>
        <v>4.2.2</v>
      </c>
      <c r="C144" s="1938" t="str">
        <f t="shared" si="147"/>
        <v>運用管理体制</v>
      </c>
      <c r="D144" s="1926" t="e">
        <f>IF(I$142&gt;0,G144/I$142,0)</f>
        <v>#DIV/0!</v>
      </c>
      <c r="E144" s="1926" t="e">
        <f>IF(J$142&gt;0,H144/J$142,0)</f>
        <v>#DIV/0!</v>
      </c>
      <c r="G144" s="1936" t="e">
        <f t="shared" si="154"/>
        <v>#DIV/0!</v>
      </c>
      <c r="H144" s="1936" t="e">
        <f t="shared" si="154"/>
        <v>#DIV/0!</v>
      </c>
      <c r="I144" s="1936"/>
      <c r="J144" s="1936"/>
      <c r="K144" s="1936">
        <f>IF(スコア!O144=0,0,1)</f>
        <v>1</v>
      </c>
      <c r="L144" s="1936">
        <f>IF(スコア!R144=0,0,1)</f>
        <v>0</v>
      </c>
      <c r="M144" s="1936" t="e">
        <f t="shared" si="148"/>
        <v>#DIV/0!</v>
      </c>
      <c r="N144" s="1936" t="e">
        <f t="shared" si="152"/>
        <v>#DIV/0!</v>
      </c>
      <c r="P144" s="1937" t="str">
        <f t="shared" si="149"/>
        <v>4.2.2</v>
      </c>
      <c r="Q144" s="1937" t="str">
        <f t="shared" si="150"/>
        <v>LR1 4.2</v>
      </c>
      <c r="R144" s="1938" t="str">
        <f t="shared" si="151"/>
        <v>運用管理体制</v>
      </c>
      <c r="S144" s="2799">
        <f t="shared" si="133"/>
        <v>0</v>
      </c>
      <c r="T144" s="2799">
        <f t="shared" si="134"/>
        <v>0</v>
      </c>
      <c r="U144" s="2799">
        <f t="shared" si="135"/>
        <v>0</v>
      </c>
      <c r="V144" s="2799">
        <f t="shared" si="136"/>
        <v>0</v>
      </c>
      <c r="W144" s="2799">
        <f t="shared" si="137"/>
        <v>0</v>
      </c>
      <c r="X144" s="2799">
        <f t="shared" si="138"/>
        <v>0</v>
      </c>
      <c r="Y144" s="2799">
        <f t="shared" si="139"/>
        <v>0.5</v>
      </c>
      <c r="Z144" s="2801">
        <f t="shared" si="140"/>
        <v>0</v>
      </c>
      <c r="AA144" s="2799">
        <f t="shared" si="141"/>
        <v>0</v>
      </c>
      <c r="AB144" s="2799">
        <f t="shared" si="142"/>
        <v>0</v>
      </c>
      <c r="AC144" s="2800">
        <f t="shared" si="143"/>
        <v>0</v>
      </c>
      <c r="AD144" s="2811">
        <f t="shared" si="144"/>
        <v>0</v>
      </c>
      <c r="AE144" s="2811">
        <f t="shared" si="145"/>
        <v>0</v>
      </c>
      <c r="AG144" s="1937" t="s">
        <v>1622</v>
      </c>
      <c r="AH144" s="1941" t="s">
        <v>1625</v>
      </c>
      <c r="AI144" s="1942" t="s">
        <v>1614</v>
      </c>
      <c r="AJ144" s="1944"/>
      <c r="AK144" s="1944"/>
      <c r="AL144" s="1944"/>
      <c r="AM144" s="1944"/>
      <c r="AN144" s="1944"/>
      <c r="AO144" s="1944"/>
      <c r="AP144" s="1944">
        <v>0.5</v>
      </c>
      <c r="AQ144" s="1951"/>
      <c r="AR144" s="1944"/>
      <c r="AS144" s="1944"/>
      <c r="AT144" s="1945"/>
      <c r="AU144" s="1990"/>
      <c r="AV144" s="1990"/>
      <c r="AX144" s="1937" t="s">
        <v>1622</v>
      </c>
      <c r="AY144" s="1941" t="s">
        <v>1625</v>
      </c>
      <c r="AZ144" s="1942" t="s">
        <v>1018</v>
      </c>
      <c r="BA144" s="1944"/>
      <c r="BB144" s="1944"/>
      <c r="BC144" s="1944"/>
      <c r="BD144" s="1944"/>
      <c r="BE144" s="1944"/>
      <c r="BF144" s="1944"/>
      <c r="BG144" s="1944">
        <v>0.5</v>
      </c>
      <c r="BH144" s="1951"/>
      <c r="BI144" s="1944"/>
      <c r="BJ144" s="1944"/>
      <c r="BK144" s="1945"/>
      <c r="BL144" s="1990"/>
      <c r="BM144" s="1990"/>
      <c r="BO144" s="1937" t="s">
        <v>1622</v>
      </c>
      <c r="BP144" s="1941" t="s">
        <v>1625</v>
      </c>
      <c r="BQ144" s="1942" t="s">
        <v>1018</v>
      </c>
      <c r="BR144" s="1944"/>
      <c r="BS144" s="1944"/>
      <c r="BT144" s="1944"/>
      <c r="BU144" s="1944"/>
      <c r="BV144" s="1944"/>
      <c r="BW144" s="1944"/>
      <c r="BX144" s="1944">
        <v>0.5</v>
      </c>
      <c r="BY144" s="1951"/>
      <c r="BZ144" s="1944"/>
      <c r="CA144" s="1944"/>
      <c r="CB144" s="1945"/>
      <c r="CC144" s="1990"/>
      <c r="CD144" s="1990"/>
      <c r="CE144" s="2275"/>
      <c r="CG144" s="1937" t="s">
        <v>1622</v>
      </c>
      <c r="CH144" s="1941" t="s">
        <v>1625</v>
      </c>
      <c r="CI144" s="1942" t="s">
        <v>1018</v>
      </c>
      <c r="CJ144" s="2706">
        <f t="shared" si="167"/>
        <v>0</v>
      </c>
      <c r="CK144" s="2706">
        <f t="shared" si="155"/>
        <v>0</v>
      </c>
      <c r="CL144" s="2706">
        <f t="shared" si="156"/>
        <v>0</v>
      </c>
      <c r="CM144" s="2706">
        <f t="shared" si="157"/>
        <v>0</v>
      </c>
      <c r="CN144" s="2706">
        <f t="shared" si="158"/>
        <v>0</v>
      </c>
      <c r="CO144" s="2706">
        <f t="shared" si="159"/>
        <v>0</v>
      </c>
      <c r="CP144" s="2706">
        <f t="shared" si="160"/>
        <v>0.5</v>
      </c>
      <c r="CQ144" s="2718">
        <f t="shared" si="161"/>
        <v>0</v>
      </c>
      <c r="CR144" s="2706">
        <f t="shared" si="162"/>
        <v>0</v>
      </c>
      <c r="CS144" s="2706">
        <f t="shared" si="163"/>
        <v>0</v>
      </c>
      <c r="CT144" s="2708">
        <f t="shared" si="164"/>
        <v>0</v>
      </c>
      <c r="CU144" s="2721">
        <f t="shared" si="165"/>
        <v>0</v>
      </c>
      <c r="CV144" s="2721">
        <f t="shared" si="166"/>
        <v>0</v>
      </c>
      <c r="CX144" s="1937" t="s">
        <v>1622</v>
      </c>
      <c r="CY144" s="1941" t="s">
        <v>1625</v>
      </c>
      <c r="CZ144" s="1942" t="s">
        <v>1018</v>
      </c>
      <c r="DA144" s="2695">
        <f t="shared" si="153"/>
        <v>0</v>
      </c>
      <c r="DB144" s="2695"/>
      <c r="DC144" s="2695"/>
      <c r="DD144" s="2695"/>
      <c r="DE144" s="2695"/>
      <c r="DF144" s="2695"/>
      <c r="DG144" s="2695"/>
      <c r="DH144" s="2778"/>
      <c r="DI144" s="2695"/>
      <c r="DJ144" s="2695"/>
      <c r="DK144" s="2905"/>
      <c r="DL144" s="2698"/>
      <c r="DM144" s="2698"/>
    </row>
    <row r="145" spans="1:117">
      <c r="B145" s="1916" t="str">
        <f t="shared" si="125"/>
        <v>LR2</v>
      </c>
      <c r="C145" s="1919" t="str">
        <f t="shared" si="147"/>
        <v>資源・マテリアル</v>
      </c>
      <c r="D145" s="1994" t="e">
        <f>IF(I$121=0,0,G145/I$121)</f>
        <v>#DIV/0!</v>
      </c>
      <c r="E145" s="1918" t="e">
        <f>IF(J$121=0,0,H145/J$121)</f>
        <v>#DIV/0!</v>
      </c>
      <c r="G145" s="1918" t="e">
        <f t="shared" si="122"/>
        <v>#DIV/0!</v>
      </c>
      <c r="H145" s="1918" t="e">
        <f t="shared" si="123"/>
        <v>#DIV/0!</v>
      </c>
      <c r="I145" s="1918" t="e">
        <f>G146+G151+G166</f>
        <v>#DIV/0!</v>
      </c>
      <c r="J145" s="1918" t="e">
        <f>H146+H151+H166</f>
        <v>#DIV/0!</v>
      </c>
      <c r="K145" s="1918" t="e">
        <f>IF(スコア!T145=0,0,1)</f>
        <v>#DIV/0!</v>
      </c>
      <c r="L145" s="1918">
        <f>IF(スコア!R145=0,0,1)</f>
        <v>0</v>
      </c>
      <c r="M145" s="1918" t="e">
        <f t="shared" si="124"/>
        <v>#DIV/0!</v>
      </c>
      <c r="N145" s="1918" t="e">
        <f t="shared" si="132"/>
        <v>#DIV/0!</v>
      </c>
      <c r="P145" s="1999" t="str">
        <f t="shared" si="149"/>
        <v>LR2</v>
      </c>
      <c r="Q145" s="1999" t="str">
        <f t="shared" si="150"/>
        <v>LR</v>
      </c>
      <c r="R145" s="1919" t="str">
        <f t="shared" si="151"/>
        <v>資源・マテリアル</v>
      </c>
      <c r="S145" s="2793">
        <f t="shared" si="133"/>
        <v>0.3</v>
      </c>
      <c r="T145" s="2793">
        <f t="shared" si="134"/>
        <v>0.3</v>
      </c>
      <c r="U145" s="2793">
        <f t="shared" si="135"/>
        <v>0.3</v>
      </c>
      <c r="V145" s="2793">
        <f t="shared" si="136"/>
        <v>0.3</v>
      </c>
      <c r="W145" s="2793">
        <f t="shared" si="137"/>
        <v>0.3</v>
      </c>
      <c r="X145" s="2793">
        <f t="shared" si="138"/>
        <v>0.3</v>
      </c>
      <c r="Y145" s="2793">
        <f t="shared" si="139"/>
        <v>0.3</v>
      </c>
      <c r="Z145" s="2815">
        <f t="shared" si="140"/>
        <v>0.3</v>
      </c>
      <c r="AA145" s="2793">
        <f t="shared" si="141"/>
        <v>0.3</v>
      </c>
      <c r="AB145" s="2793">
        <f t="shared" si="142"/>
        <v>0.3</v>
      </c>
      <c r="AC145" s="2816">
        <f t="shared" si="143"/>
        <v>0</v>
      </c>
      <c r="AD145" s="2817">
        <f t="shared" si="144"/>
        <v>0</v>
      </c>
      <c r="AE145" s="2817">
        <f t="shared" si="145"/>
        <v>0</v>
      </c>
      <c r="AG145" s="1999" t="s">
        <v>1940</v>
      </c>
      <c r="AH145" s="2000" t="s">
        <v>1419</v>
      </c>
      <c r="AI145" s="1919" t="s">
        <v>1941</v>
      </c>
      <c r="AJ145" s="1922">
        <v>0.3</v>
      </c>
      <c r="AK145" s="1922">
        <v>0.3</v>
      </c>
      <c r="AL145" s="1922">
        <v>0.3</v>
      </c>
      <c r="AM145" s="1922">
        <v>0.3</v>
      </c>
      <c r="AN145" s="1922">
        <v>0.3</v>
      </c>
      <c r="AO145" s="1922">
        <v>0.3</v>
      </c>
      <c r="AP145" s="1922">
        <v>0.3</v>
      </c>
      <c r="AQ145" s="2001">
        <v>0.3</v>
      </c>
      <c r="AR145" s="1922">
        <v>0.3</v>
      </c>
      <c r="AS145" s="1922">
        <v>0.3</v>
      </c>
      <c r="AT145" s="2002"/>
      <c r="AU145" s="2003"/>
      <c r="AV145" s="2003"/>
      <c r="AX145" s="1999" t="s">
        <v>1940</v>
      </c>
      <c r="AY145" s="2000" t="s">
        <v>1419</v>
      </c>
      <c r="AZ145" s="1919" t="s">
        <v>1941</v>
      </c>
      <c r="BA145" s="1922">
        <v>0.3</v>
      </c>
      <c r="BB145" s="1922">
        <v>0.3</v>
      </c>
      <c r="BC145" s="1922">
        <v>0.3</v>
      </c>
      <c r="BD145" s="1922">
        <v>0.3</v>
      </c>
      <c r="BE145" s="1922">
        <v>0.3</v>
      </c>
      <c r="BF145" s="1922">
        <v>0.3</v>
      </c>
      <c r="BG145" s="1922">
        <v>0.3</v>
      </c>
      <c r="BH145" s="2001">
        <v>0.3</v>
      </c>
      <c r="BI145" s="1922">
        <v>0.3</v>
      </c>
      <c r="BJ145" s="1922">
        <v>0.3</v>
      </c>
      <c r="BK145" s="2002"/>
      <c r="BL145" s="2003"/>
      <c r="BM145" s="2003"/>
      <c r="BO145" s="1999" t="s">
        <v>1940</v>
      </c>
      <c r="BP145" s="2000" t="s">
        <v>1419</v>
      </c>
      <c r="BQ145" s="1919" t="s">
        <v>1941</v>
      </c>
      <c r="BR145" s="1922">
        <v>0.3</v>
      </c>
      <c r="BS145" s="1922">
        <v>0.3</v>
      </c>
      <c r="BT145" s="1922">
        <v>0.3</v>
      </c>
      <c r="BU145" s="1922">
        <v>0.3</v>
      </c>
      <c r="BV145" s="1922">
        <v>0.3</v>
      </c>
      <c r="BW145" s="1922">
        <v>0.3</v>
      </c>
      <c r="BX145" s="1922">
        <v>0.3</v>
      </c>
      <c r="BY145" s="2001">
        <v>0.3</v>
      </c>
      <c r="BZ145" s="1922">
        <v>0.3</v>
      </c>
      <c r="CA145" s="1922">
        <v>0.3</v>
      </c>
      <c r="CB145" s="2002"/>
      <c r="CC145" s="2003"/>
      <c r="CD145" s="2003"/>
      <c r="CE145" s="2276"/>
      <c r="CG145" s="1999" t="s">
        <v>1940</v>
      </c>
      <c r="CH145" s="2000" t="s">
        <v>1412</v>
      </c>
      <c r="CI145" s="1919" t="s">
        <v>1941</v>
      </c>
      <c r="CJ145" s="2691">
        <v>0.5</v>
      </c>
      <c r="CK145" s="2691">
        <v>0.5</v>
      </c>
      <c r="CL145" s="2691">
        <v>0.5</v>
      </c>
      <c r="CM145" s="2691">
        <v>0.5</v>
      </c>
      <c r="CN145" s="2691">
        <v>0.5</v>
      </c>
      <c r="CO145" s="2691">
        <v>0.5</v>
      </c>
      <c r="CP145" s="2691">
        <v>0.5</v>
      </c>
      <c r="CQ145" s="2691">
        <v>0.5</v>
      </c>
      <c r="CR145" s="2691">
        <v>0.5</v>
      </c>
      <c r="CS145" s="2691">
        <v>0.5</v>
      </c>
      <c r="CT145" s="2699">
        <f t="shared" si="164"/>
        <v>0</v>
      </c>
      <c r="CU145" s="2700">
        <f t="shared" si="165"/>
        <v>0</v>
      </c>
      <c r="CV145" s="2700">
        <f t="shared" si="166"/>
        <v>0</v>
      </c>
      <c r="CX145" s="1999" t="s">
        <v>1940</v>
      </c>
      <c r="CY145" s="2000" t="s">
        <v>1412</v>
      </c>
      <c r="CZ145" s="1919" t="s">
        <v>1941</v>
      </c>
      <c r="DA145" s="2923">
        <v>0.35</v>
      </c>
      <c r="DB145" s="2691"/>
      <c r="DC145" s="2691"/>
      <c r="DD145" s="2691"/>
      <c r="DE145" s="2691"/>
      <c r="DF145" s="2691"/>
      <c r="DG145" s="2691"/>
      <c r="DH145" s="2691"/>
      <c r="DI145" s="2691"/>
      <c r="DJ145" s="2691"/>
      <c r="DK145" s="2699"/>
      <c r="DL145" s="2700"/>
      <c r="DM145" s="2700"/>
    </row>
    <row r="146" spans="1:117">
      <c r="B146" s="1916">
        <f t="shared" si="125"/>
        <v>1</v>
      </c>
      <c r="C146" s="1928" t="str">
        <f t="shared" si="147"/>
        <v>水資源保護</v>
      </c>
      <c r="D146" s="1924" t="e">
        <f>IF(I$145=0,0,G146/I$145)</f>
        <v>#DIV/0!</v>
      </c>
      <c r="E146" s="1925" t="e">
        <f>IF(J$145=0,0,H146/J$145)</f>
        <v>#DIV/0!</v>
      </c>
      <c r="G146" s="1925" t="e">
        <f t="shared" ref="G146:G186" si="168">K146*M146</f>
        <v>#DIV/0!</v>
      </c>
      <c r="H146" s="1925" t="e">
        <f t="shared" ref="H146:H186" si="169">L146*N146</f>
        <v>#DIV/0!</v>
      </c>
      <c r="I146" s="1925" t="e">
        <f>G147+G148</f>
        <v>#DIV/0!</v>
      </c>
      <c r="J146" s="1925" t="e">
        <f>H147+H148</f>
        <v>#DIV/0!</v>
      </c>
      <c r="K146" s="1925" t="e">
        <f>IF(スコア!O146=0,0,1)</f>
        <v>#DIV/0!</v>
      </c>
      <c r="L146" s="1925" t="e">
        <f>IF(スコア!R146=0,0,1)</f>
        <v>#DIV/0!</v>
      </c>
      <c r="M146" s="1925" t="e">
        <f t="shared" ref="M146:M186" si="170">SUMPRODUCT($S$7:$AB$7,S146:AB146)</f>
        <v>#DIV/0!</v>
      </c>
      <c r="N146" s="1925" t="e">
        <f t="shared" si="132"/>
        <v>#DIV/0!</v>
      </c>
      <c r="P146" s="1995">
        <f t="shared" si="149"/>
        <v>1</v>
      </c>
      <c r="Q146" s="1927" t="str">
        <f t="shared" si="150"/>
        <v>LR2</v>
      </c>
      <c r="R146" s="1928" t="str">
        <f t="shared" si="151"/>
        <v>水資源保護</v>
      </c>
      <c r="S146" s="2796">
        <f t="shared" si="133"/>
        <v>0.2</v>
      </c>
      <c r="T146" s="2796">
        <f t="shared" si="134"/>
        <v>0.2</v>
      </c>
      <c r="U146" s="2796">
        <f t="shared" si="135"/>
        <v>0.2</v>
      </c>
      <c r="V146" s="2796">
        <f t="shared" si="136"/>
        <v>0.2</v>
      </c>
      <c r="W146" s="2796">
        <f t="shared" si="137"/>
        <v>0.2</v>
      </c>
      <c r="X146" s="2796">
        <f t="shared" si="138"/>
        <v>0.2</v>
      </c>
      <c r="Y146" s="2796">
        <f t="shared" si="139"/>
        <v>0.2</v>
      </c>
      <c r="Z146" s="2810">
        <f t="shared" si="140"/>
        <v>0.2</v>
      </c>
      <c r="AA146" s="2796">
        <f t="shared" si="141"/>
        <v>0.2</v>
      </c>
      <c r="AB146" s="2796">
        <f t="shared" si="142"/>
        <v>0.2</v>
      </c>
      <c r="AC146" s="2818">
        <f t="shared" si="143"/>
        <v>0</v>
      </c>
      <c r="AD146" s="2819">
        <f t="shared" si="144"/>
        <v>0</v>
      </c>
      <c r="AE146" s="2819">
        <f t="shared" si="145"/>
        <v>0</v>
      </c>
      <c r="AG146" s="1995">
        <v>1</v>
      </c>
      <c r="AH146" s="1931" t="s">
        <v>1605</v>
      </c>
      <c r="AI146" s="1928" t="s">
        <v>1277</v>
      </c>
      <c r="AJ146" s="1932">
        <v>0.2</v>
      </c>
      <c r="AK146" s="1932">
        <v>0.2</v>
      </c>
      <c r="AL146" s="1932">
        <v>0.2</v>
      </c>
      <c r="AM146" s="1932">
        <v>0.2</v>
      </c>
      <c r="AN146" s="1932">
        <v>0.2</v>
      </c>
      <c r="AO146" s="1932">
        <v>0.2</v>
      </c>
      <c r="AP146" s="1932">
        <v>0.2</v>
      </c>
      <c r="AQ146" s="1985">
        <v>0.2</v>
      </c>
      <c r="AR146" s="1932">
        <v>0.2</v>
      </c>
      <c r="AS146" s="1932">
        <v>0.2</v>
      </c>
      <c r="AT146" s="2004"/>
      <c r="AU146" s="2005"/>
      <c r="AV146" s="2005"/>
      <c r="AX146" s="1995">
        <v>1</v>
      </c>
      <c r="AY146" s="1931" t="s">
        <v>1605</v>
      </c>
      <c r="AZ146" s="1928" t="s">
        <v>1277</v>
      </c>
      <c r="BA146" s="1932">
        <v>0.2</v>
      </c>
      <c r="BB146" s="1932">
        <v>0.2</v>
      </c>
      <c r="BC146" s="1932">
        <v>0.2</v>
      </c>
      <c r="BD146" s="1932">
        <v>0.2</v>
      </c>
      <c r="BE146" s="1932">
        <v>0.2</v>
      </c>
      <c r="BF146" s="1932">
        <v>0.2</v>
      </c>
      <c r="BG146" s="1932">
        <v>0.2</v>
      </c>
      <c r="BH146" s="1985">
        <v>0.2</v>
      </c>
      <c r="BI146" s="1932">
        <v>0.2</v>
      </c>
      <c r="BJ146" s="1932">
        <v>0.2</v>
      </c>
      <c r="BK146" s="2004"/>
      <c r="BL146" s="2005"/>
      <c r="BM146" s="2005"/>
      <c r="BO146" s="1995">
        <v>1</v>
      </c>
      <c r="BP146" s="1931" t="s">
        <v>1605</v>
      </c>
      <c r="BQ146" s="1928" t="s">
        <v>1277</v>
      </c>
      <c r="BR146" s="1932">
        <v>0.2</v>
      </c>
      <c r="BS146" s="1932">
        <v>0.2</v>
      </c>
      <c r="BT146" s="1932">
        <v>0.2</v>
      </c>
      <c r="BU146" s="1932">
        <v>0.2</v>
      </c>
      <c r="BV146" s="1932">
        <v>0.2</v>
      </c>
      <c r="BW146" s="1932">
        <v>0.2</v>
      </c>
      <c r="BX146" s="1932">
        <v>0.2</v>
      </c>
      <c r="BY146" s="1985">
        <v>0.2</v>
      </c>
      <c r="BZ146" s="1932">
        <v>0.2</v>
      </c>
      <c r="CA146" s="1932">
        <v>0.2</v>
      </c>
      <c r="CB146" s="2004"/>
      <c r="CC146" s="2005"/>
      <c r="CD146" s="2005"/>
      <c r="CE146" s="2276"/>
      <c r="CG146" s="1995">
        <v>1</v>
      </c>
      <c r="CH146" s="1931" t="s">
        <v>1605</v>
      </c>
      <c r="CI146" s="1928" t="s">
        <v>1277</v>
      </c>
      <c r="CJ146" s="2693">
        <v>0.1</v>
      </c>
      <c r="CK146" s="2693">
        <v>0.1</v>
      </c>
      <c r="CL146" s="2693">
        <v>0.1</v>
      </c>
      <c r="CM146" s="2693">
        <v>0.1</v>
      </c>
      <c r="CN146" s="2693">
        <v>0.1</v>
      </c>
      <c r="CO146" s="2693">
        <v>0.1</v>
      </c>
      <c r="CP146" s="2693">
        <v>0.1</v>
      </c>
      <c r="CQ146" s="2693">
        <v>0.1</v>
      </c>
      <c r="CR146" s="2693">
        <v>0.1</v>
      </c>
      <c r="CS146" s="2693">
        <v>0.1</v>
      </c>
      <c r="CT146" s="2729">
        <f t="shared" si="164"/>
        <v>0</v>
      </c>
      <c r="CU146" s="2730">
        <f t="shared" si="165"/>
        <v>0</v>
      </c>
      <c r="CV146" s="2730">
        <f t="shared" si="166"/>
        <v>0</v>
      </c>
      <c r="CX146" s="1995">
        <v>1</v>
      </c>
      <c r="CY146" s="1931" t="s">
        <v>1605</v>
      </c>
      <c r="CZ146" s="1928" t="s">
        <v>1277</v>
      </c>
      <c r="DA146" s="2932">
        <v>0.3</v>
      </c>
      <c r="DB146" s="2693"/>
      <c r="DC146" s="2693"/>
      <c r="DD146" s="2693"/>
      <c r="DE146" s="2693"/>
      <c r="DF146" s="2693"/>
      <c r="DG146" s="2693"/>
      <c r="DH146" s="2693"/>
      <c r="DI146" s="2693"/>
      <c r="DJ146" s="2693"/>
      <c r="DK146" s="2920"/>
      <c r="DL146" s="2921"/>
      <c r="DM146" s="2921"/>
    </row>
    <row r="147" spans="1:117">
      <c r="B147" s="1916">
        <f t="shared" si="125"/>
        <v>1.1000000000000001</v>
      </c>
      <c r="C147" s="1938" t="str">
        <f t="shared" si="147"/>
        <v>節水</v>
      </c>
      <c r="D147" s="1935" t="e">
        <f>IF(I$146=0,0,G147/I$146)</f>
        <v>#DIV/0!</v>
      </c>
      <c r="E147" s="1936" t="e">
        <f>IF(J$146=0,0,H147/J$146)</f>
        <v>#DIV/0!</v>
      </c>
      <c r="G147" s="1936" t="e">
        <f t="shared" si="168"/>
        <v>#DIV/0!</v>
      </c>
      <c r="H147" s="1936" t="e">
        <f t="shared" si="169"/>
        <v>#DIV/0!</v>
      </c>
      <c r="I147" s="1936"/>
      <c r="J147" s="1936"/>
      <c r="K147" s="1936">
        <f>IF(スコア!O147=0,0,1)</f>
        <v>1</v>
      </c>
      <c r="L147" s="1936">
        <f>IF(スコア!R147=0,0,1)</f>
        <v>0</v>
      </c>
      <c r="M147" s="1936" t="e">
        <f t="shared" si="170"/>
        <v>#DIV/0!</v>
      </c>
      <c r="N147" s="1936" t="e">
        <f t="shared" si="132"/>
        <v>#DIV/0!</v>
      </c>
      <c r="P147" s="1937">
        <f t="shared" si="149"/>
        <v>1.1000000000000001</v>
      </c>
      <c r="Q147" s="1937" t="str">
        <f t="shared" si="150"/>
        <v>LR2 1</v>
      </c>
      <c r="R147" s="1938" t="str">
        <f t="shared" si="151"/>
        <v>節水</v>
      </c>
      <c r="S147" s="2799">
        <f t="shared" si="133"/>
        <v>0.4</v>
      </c>
      <c r="T147" s="2799">
        <f t="shared" si="134"/>
        <v>0.4</v>
      </c>
      <c r="U147" s="2799">
        <f t="shared" si="135"/>
        <v>0.4</v>
      </c>
      <c r="V147" s="2799">
        <f t="shared" si="136"/>
        <v>0.4</v>
      </c>
      <c r="W147" s="2799">
        <f t="shared" si="137"/>
        <v>0.4</v>
      </c>
      <c r="X147" s="2799">
        <f t="shared" si="138"/>
        <v>0.4</v>
      </c>
      <c r="Y147" s="2799">
        <f t="shared" si="139"/>
        <v>0.4</v>
      </c>
      <c r="Z147" s="2801">
        <f t="shared" si="140"/>
        <v>0.4</v>
      </c>
      <c r="AA147" s="2799">
        <f t="shared" si="141"/>
        <v>0.4</v>
      </c>
      <c r="AB147" s="2799">
        <f t="shared" si="142"/>
        <v>0.4</v>
      </c>
      <c r="AC147" s="2820">
        <f t="shared" si="143"/>
        <v>0</v>
      </c>
      <c r="AD147" s="2804">
        <f t="shared" si="144"/>
        <v>0</v>
      </c>
      <c r="AE147" s="2804">
        <f t="shared" si="145"/>
        <v>0</v>
      </c>
      <c r="AG147" s="1937">
        <v>1.1000000000000001</v>
      </c>
      <c r="AH147" s="1941" t="s">
        <v>173</v>
      </c>
      <c r="AI147" s="1942" t="s">
        <v>1278</v>
      </c>
      <c r="AJ147" s="1944">
        <v>0.4</v>
      </c>
      <c r="AK147" s="1944">
        <v>0.4</v>
      </c>
      <c r="AL147" s="1944">
        <v>0.4</v>
      </c>
      <c r="AM147" s="1944">
        <v>0.4</v>
      </c>
      <c r="AN147" s="1944">
        <v>0.4</v>
      </c>
      <c r="AO147" s="1944">
        <v>0.4</v>
      </c>
      <c r="AP147" s="1944">
        <v>0.4</v>
      </c>
      <c r="AQ147" s="1951">
        <v>0.4</v>
      </c>
      <c r="AR147" s="1944">
        <v>0.4</v>
      </c>
      <c r="AS147" s="1944">
        <v>0.4</v>
      </c>
      <c r="AT147" s="2006"/>
      <c r="AU147" s="1957"/>
      <c r="AV147" s="1957"/>
      <c r="AX147" s="1937">
        <v>1.1000000000000001</v>
      </c>
      <c r="AY147" s="1941" t="s">
        <v>173</v>
      </c>
      <c r="AZ147" s="1942" t="s">
        <v>1278</v>
      </c>
      <c r="BA147" s="1944">
        <v>0.4</v>
      </c>
      <c r="BB147" s="1944">
        <v>0.4</v>
      </c>
      <c r="BC147" s="1944">
        <v>0.4</v>
      </c>
      <c r="BD147" s="1944">
        <v>0.4</v>
      </c>
      <c r="BE147" s="1944">
        <v>0.4</v>
      </c>
      <c r="BF147" s="1944">
        <v>0.4</v>
      </c>
      <c r="BG147" s="1944">
        <v>0.4</v>
      </c>
      <c r="BH147" s="1951">
        <v>0.4</v>
      </c>
      <c r="BI147" s="1944">
        <v>0.4</v>
      </c>
      <c r="BJ147" s="1944">
        <v>0.4</v>
      </c>
      <c r="BK147" s="2006"/>
      <c r="BL147" s="1957"/>
      <c r="BM147" s="1957"/>
      <c r="BO147" s="1937">
        <v>1.1000000000000001</v>
      </c>
      <c r="BP147" s="1941" t="s">
        <v>173</v>
      </c>
      <c r="BQ147" s="1942" t="s">
        <v>1278</v>
      </c>
      <c r="BR147" s="1944">
        <v>0.4</v>
      </c>
      <c r="BS147" s="1944">
        <v>0.4</v>
      </c>
      <c r="BT147" s="1944">
        <v>0.4</v>
      </c>
      <c r="BU147" s="1944">
        <v>0.4</v>
      </c>
      <c r="BV147" s="1944">
        <v>0.4</v>
      </c>
      <c r="BW147" s="1944">
        <v>0.4</v>
      </c>
      <c r="BX147" s="1944">
        <v>0.4</v>
      </c>
      <c r="BY147" s="1951">
        <v>0.4</v>
      </c>
      <c r="BZ147" s="1944">
        <v>0.4</v>
      </c>
      <c r="CA147" s="1944">
        <v>0.4</v>
      </c>
      <c r="CB147" s="2006"/>
      <c r="CC147" s="1957"/>
      <c r="CD147" s="1957"/>
      <c r="CE147" s="2266"/>
      <c r="CG147" s="1937">
        <v>1.1000000000000001</v>
      </c>
      <c r="CH147" s="1941" t="s">
        <v>173</v>
      </c>
      <c r="CI147" s="1942" t="s">
        <v>1278</v>
      </c>
      <c r="CJ147" s="2706">
        <f t="shared" si="167"/>
        <v>0.4</v>
      </c>
      <c r="CK147" s="2706">
        <f t="shared" ref="CK147:CK150" si="171">BS147</f>
        <v>0.4</v>
      </c>
      <c r="CL147" s="2706">
        <f t="shared" ref="CL147:CL150" si="172">BT147</f>
        <v>0.4</v>
      </c>
      <c r="CM147" s="2706">
        <f t="shared" ref="CM147:CM150" si="173">BU147</f>
        <v>0.4</v>
      </c>
      <c r="CN147" s="2706">
        <f t="shared" ref="CN147:CN150" si="174">BV147</f>
        <v>0.4</v>
      </c>
      <c r="CO147" s="2706">
        <f t="shared" ref="CO147:CO150" si="175">BW147</f>
        <v>0.4</v>
      </c>
      <c r="CP147" s="2706">
        <f t="shared" ref="CP147:CP150" si="176">BX147</f>
        <v>0.4</v>
      </c>
      <c r="CQ147" s="2706">
        <f t="shared" ref="CQ147:CQ150" si="177">BY147</f>
        <v>0.4</v>
      </c>
      <c r="CR147" s="2706">
        <f t="shared" ref="CR147:CR150" si="178">BZ147</f>
        <v>0.4</v>
      </c>
      <c r="CS147" s="2706">
        <f t="shared" ref="CS147:CS150" si="179">CA147</f>
        <v>0.4</v>
      </c>
      <c r="CT147" s="2731">
        <f t="shared" si="164"/>
        <v>0</v>
      </c>
      <c r="CU147" s="2712">
        <f t="shared" si="165"/>
        <v>0</v>
      </c>
      <c r="CV147" s="2712">
        <f t="shared" si="166"/>
        <v>0</v>
      </c>
      <c r="CX147" s="1937">
        <v>1.1000000000000001</v>
      </c>
      <c r="CY147" s="1941" t="s">
        <v>173</v>
      </c>
      <c r="CZ147" s="1942" t="s">
        <v>1278</v>
      </c>
      <c r="DA147" s="2695">
        <f t="shared" si="153"/>
        <v>0.4</v>
      </c>
      <c r="DB147" s="2695"/>
      <c r="DC147" s="2695"/>
      <c r="DD147" s="2695"/>
      <c r="DE147" s="2695"/>
      <c r="DF147" s="2695"/>
      <c r="DG147" s="2695"/>
      <c r="DH147" s="2695"/>
      <c r="DI147" s="2695"/>
      <c r="DJ147" s="2695"/>
      <c r="DK147" s="2922"/>
      <c r="DL147" s="2908"/>
      <c r="DM147" s="2908"/>
    </row>
    <row r="148" spans="1:117">
      <c r="B148" s="1916">
        <f t="shared" ref="B148:B188" si="180">P148</f>
        <v>1.2</v>
      </c>
      <c r="C148" s="1938" t="str">
        <f t="shared" si="147"/>
        <v>雨水利用・雑排水再利用</v>
      </c>
      <c r="D148" s="1935" t="e">
        <f>IF(I$146=0,0,G148/I$146)</f>
        <v>#DIV/0!</v>
      </c>
      <c r="E148" s="1936" t="e">
        <f>IF(J$146=0,0,H148/J$146)</f>
        <v>#DIV/0!</v>
      </c>
      <c r="G148" s="1936" t="e">
        <f>K148*M148</f>
        <v>#DIV/0!</v>
      </c>
      <c r="H148" s="1936" t="e">
        <f t="shared" si="169"/>
        <v>#DIV/0!</v>
      </c>
      <c r="I148" s="1936" t="e">
        <f>SUM(G149:G150)</f>
        <v>#DIV/0!</v>
      </c>
      <c r="J148" s="1936" t="e">
        <f>SUM(H149:H150)</f>
        <v>#DIV/0!</v>
      </c>
      <c r="K148" s="1936" t="e">
        <f>IF(スコア!O148=0,0,1)</f>
        <v>#DIV/0!</v>
      </c>
      <c r="L148" s="1936" t="e">
        <f>IF(スコア!R148=0,0,1)</f>
        <v>#DIV/0!</v>
      </c>
      <c r="M148" s="1936" t="e">
        <f>SUMPRODUCT($S$7:$AB$7,S148:AB148)</f>
        <v>#DIV/0!</v>
      </c>
      <c r="N148" s="1936" t="e">
        <f t="shared" si="132"/>
        <v>#DIV/0!</v>
      </c>
      <c r="P148" s="1997">
        <f t="shared" si="149"/>
        <v>1.2</v>
      </c>
      <c r="Q148" s="1937" t="str">
        <f t="shared" si="150"/>
        <v>LR2 1</v>
      </c>
      <c r="R148" s="1938" t="str">
        <f t="shared" si="151"/>
        <v>雨水利用・雑排水再利用</v>
      </c>
      <c r="S148" s="2799">
        <f t="shared" si="133"/>
        <v>0.6</v>
      </c>
      <c r="T148" s="2799">
        <f t="shared" si="134"/>
        <v>0.6</v>
      </c>
      <c r="U148" s="2799">
        <f t="shared" si="135"/>
        <v>0.6</v>
      </c>
      <c r="V148" s="2799">
        <f t="shared" si="136"/>
        <v>0.6</v>
      </c>
      <c r="W148" s="2799">
        <f t="shared" si="137"/>
        <v>0.6</v>
      </c>
      <c r="X148" s="2799">
        <f t="shared" si="138"/>
        <v>0.6</v>
      </c>
      <c r="Y148" s="2799">
        <f t="shared" si="139"/>
        <v>0.6</v>
      </c>
      <c r="Z148" s="2801">
        <f t="shared" si="140"/>
        <v>0.6</v>
      </c>
      <c r="AA148" s="2799">
        <f t="shared" si="141"/>
        <v>0.6</v>
      </c>
      <c r="AB148" s="2799">
        <f t="shared" si="142"/>
        <v>0.6</v>
      </c>
      <c r="AC148" s="2820">
        <f t="shared" si="143"/>
        <v>0</v>
      </c>
      <c r="AD148" s="2804">
        <f t="shared" si="144"/>
        <v>0</v>
      </c>
      <c r="AE148" s="2804">
        <f t="shared" si="145"/>
        <v>0</v>
      </c>
      <c r="AG148" s="1997">
        <v>1.2</v>
      </c>
      <c r="AH148" s="1941" t="s">
        <v>173</v>
      </c>
      <c r="AI148" s="1938" t="s">
        <v>174</v>
      </c>
      <c r="AJ148" s="1944">
        <v>0.6</v>
      </c>
      <c r="AK148" s="1944">
        <v>0.6</v>
      </c>
      <c r="AL148" s="1944">
        <v>0.6</v>
      </c>
      <c r="AM148" s="1944">
        <v>0.6</v>
      </c>
      <c r="AN148" s="1944">
        <v>0.6</v>
      </c>
      <c r="AO148" s="1944">
        <v>0.6</v>
      </c>
      <c r="AP148" s="1944">
        <v>0.6</v>
      </c>
      <c r="AQ148" s="1951">
        <v>0.6</v>
      </c>
      <c r="AR148" s="1944">
        <v>0.6</v>
      </c>
      <c r="AS148" s="1944">
        <v>0.6</v>
      </c>
      <c r="AT148" s="2006"/>
      <c r="AU148" s="1957"/>
      <c r="AV148" s="1957"/>
      <c r="AX148" s="1997">
        <v>1.2</v>
      </c>
      <c r="AY148" s="1941" t="s">
        <v>173</v>
      </c>
      <c r="AZ148" s="1938" t="s">
        <v>174</v>
      </c>
      <c r="BA148" s="1944">
        <v>0.6</v>
      </c>
      <c r="BB148" s="1944">
        <v>0.6</v>
      </c>
      <c r="BC148" s="1944">
        <v>0.6</v>
      </c>
      <c r="BD148" s="1944">
        <v>0.6</v>
      </c>
      <c r="BE148" s="1944">
        <v>0.6</v>
      </c>
      <c r="BF148" s="1944">
        <v>0.6</v>
      </c>
      <c r="BG148" s="1944">
        <v>0.6</v>
      </c>
      <c r="BH148" s="1951">
        <v>0.6</v>
      </c>
      <c r="BI148" s="1944">
        <v>0.6</v>
      </c>
      <c r="BJ148" s="1944">
        <v>0.6</v>
      </c>
      <c r="BK148" s="2006"/>
      <c r="BL148" s="1957"/>
      <c r="BM148" s="1957"/>
      <c r="BO148" s="1997">
        <v>1.2</v>
      </c>
      <c r="BP148" s="1941" t="s">
        <v>173</v>
      </c>
      <c r="BQ148" s="1938" t="s">
        <v>174</v>
      </c>
      <c r="BR148" s="1944">
        <v>0.6</v>
      </c>
      <c r="BS148" s="1944">
        <v>0.6</v>
      </c>
      <c r="BT148" s="1944">
        <v>0.6</v>
      </c>
      <c r="BU148" s="1944">
        <v>0.6</v>
      </c>
      <c r="BV148" s="1944">
        <v>0.6</v>
      </c>
      <c r="BW148" s="1944">
        <v>0.6</v>
      </c>
      <c r="BX148" s="1944">
        <v>0.6</v>
      </c>
      <c r="BY148" s="1951">
        <v>0.6</v>
      </c>
      <c r="BZ148" s="1944">
        <v>0.6</v>
      </c>
      <c r="CA148" s="1944">
        <v>0.6</v>
      </c>
      <c r="CB148" s="2006"/>
      <c r="CC148" s="1957"/>
      <c r="CD148" s="1957"/>
      <c r="CE148" s="2266"/>
      <c r="CG148" s="1997">
        <v>1.2</v>
      </c>
      <c r="CH148" s="1941" t="s">
        <v>173</v>
      </c>
      <c r="CI148" s="1938" t="s">
        <v>174</v>
      </c>
      <c r="CJ148" s="2706">
        <f t="shared" si="167"/>
        <v>0.6</v>
      </c>
      <c r="CK148" s="2706">
        <f t="shared" si="171"/>
        <v>0.6</v>
      </c>
      <c r="CL148" s="2706">
        <f t="shared" si="172"/>
        <v>0.6</v>
      </c>
      <c r="CM148" s="2706">
        <f t="shared" si="173"/>
        <v>0.6</v>
      </c>
      <c r="CN148" s="2706">
        <f t="shared" si="174"/>
        <v>0.6</v>
      </c>
      <c r="CO148" s="2706">
        <f t="shared" si="175"/>
        <v>0.6</v>
      </c>
      <c r="CP148" s="2706">
        <f t="shared" si="176"/>
        <v>0.6</v>
      </c>
      <c r="CQ148" s="2706">
        <f t="shared" si="177"/>
        <v>0.6</v>
      </c>
      <c r="CR148" s="2706">
        <f t="shared" si="178"/>
        <v>0.6</v>
      </c>
      <c r="CS148" s="2706">
        <f t="shared" si="179"/>
        <v>0.6</v>
      </c>
      <c r="CT148" s="2731">
        <f t="shared" si="164"/>
        <v>0</v>
      </c>
      <c r="CU148" s="2712">
        <f t="shared" si="165"/>
        <v>0</v>
      </c>
      <c r="CV148" s="2712">
        <f t="shared" si="166"/>
        <v>0</v>
      </c>
      <c r="CX148" s="1997">
        <v>1.2</v>
      </c>
      <c r="CY148" s="1941" t="s">
        <v>173</v>
      </c>
      <c r="CZ148" s="1938" t="s">
        <v>174</v>
      </c>
      <c r="DA148" s="2695">
        <f t="shared" si="153"/>
        <v>0.6</v>
      </c>
      <c r="DB148" s="2695"/>
      <c r="DC148" s="2695"/>
      <c r="DD148" s="2695"/>
      <c r="DE148" s="2695"/>
      <c r="DF148" s="2695"/>
      <c r="DG148" s="2695"/>
      <c r="DH148" s="2695"/>
      <c r="DI148" s="2695"/>
      <c r="DJ148" s="2695"/>
      <c r="DK148" s="2922"/>
      <c r="DL148" s="2908"/>
      <c r="DM148" s="2908"/>
    </row>
    <row r="149" spans="1:117">
      <c r="B149" s="1916" t="str">
        <f t="shared" si="180"/>
        <v>1.2.1</v>
      </c>
      <c r="C149" s="1938" t="str">
        <f t="shared" si="147"/>
        <v>雨水利用システム導入の有無</v>
      </c>
      <c r="D149" s="1926" t="e">
        <f>IF(I$148&gt;0,G149/I$148,0)</f>
        <v>#DIV/0!</v>
      </c>
      <c r="E149" s="1936" t="e">
        <f>IF(J$148&gt;0,H149/J$148,0)</f>
        <v>#DIV/0!</v>
      </c>
      <c r="G149" s="1936" t="e">
        <f t="shared" si="168"/>
        <v>#DIV/0!</v>
      </c>
      <c r="H149" s="1936" t="e">
        <f t="shared" si="169"/>
        <v>#DIV/0!</v>
      </c>
      <c r="I149" s="1936"/>
      <c r="J149" s="1936"/>
      <c r="K149" s="1936">
        <f>IF(スコア!O149=0,0,1)</f>
        <v>1</v>
      </c>
      <c r="L149" s="1936">
        <f>IF(スコア!R149=0,0,1)</f>
        <v>0</v>
      </c>
      <c r="M149" s="1936" t="e">
        <f>SUMPRODUCT($S$7:$AB$7,S149:AB149)</f>
        <v>#DIV/0!</v>
      </c>
      <c r="N149" s="1936" t="e">
        <f t="shared" si="132"/>
        <v>#DIV/0!</v>
      </c>
      <c r="P149" s="1937" t="str">
        <f t="shared" si="149"/>
        <v>1.2.1</v>
      </c>
      <c r="Q149" s="1937" t="str">
        <f t="shared" si="150"/>
        <v>LR2 1.2</v>
      </c>
      <c r="R149" s="1938" t="str">
        <f t="shared" si="151"/>
        <v>雨水利用システム導入の有無</v>
      </c>
      <c r="S149" s="2799">
        <f t="shared" si="133"/>
        <v>0.7</v>
      </c>
      <c r="T149" s="2799">
        <f t="shared" si="134"/>
        <v>0.7</v>
      </c>
      <c r="U149" s="2799">
        <f t="shared" si="135"/>
        <v>0.7</v>
      </c>
      <c r="V149" s="2799">
        <f t="shared" si="136"/>
        <v>0.7</v>
      </c>
      <c r="W149" s="2799">
        <f t="shared" si="137"/>
        <v>0.7</v>
      </c>
      <c r="X149" s="2799">
        <f t="shared" si="138"/>
        <v>0.7</v>
      </c>
      <c r="Y149" s="2799">
        <f t="shared" si="139"/>
        <v>0.7</v>
      </c>
      <c r="Z149" s="2801">
        <f t="shared" si="140"/>
        <v>0.7</v>
      </c>
      <c r="AA149" s="2799">
        <f t="shared" si="141"/>
        <v>0.7</v>
      </c>
      <c r="AB149" s="2799">
        <f t="shared" si="142"/>
        <v>0.7</v>
      </c>
      <c r="AC149" s="2820">
        <f t="shared" si="143"/>
        <v>0</v>
      </c>
      <c r="AD149" s="2804">
        <f t="shared" si="144"/>
        <v>0</v>
      </c>
      <c r="AE149" s="2804">
        <f t="shared" si="145"/>
        <v>0</v>
      </c>
      <c r="AG149" s="1937" t="s">
        <v>2782</v>
      </c>
      <c r="AH149" s="1941" t="s">
        <v>175</v>
      </c>
      <c r="AI149" s="1942" t="s">
        <v>2783</v>
      </c>
      <c r="AJ149" s="1944">
        <v>0.7</v>
      </c>
      <c r="AK149" s="1944">
        <v>0.7</v>
      </c>
      <c r="AL149" s="1944">
        <v>0.7</v>
      </c>
      <c r="AM149" s="1944">
        <v>0.7</v>
      </c>
      <c r="AN149" s="1944">
        <v>0.7</v>
      </c>
      <c r="AO149" s="1944">
        <v>0.7</v>
      </c>
      <c r="AP149" s="1944">
        <v>0.7</v>
      </c>
      <c r="AQ149" s="1951">
        <v>0.7</v>
      </c>
      <c r="AR149" s="1944">
        <v>0.7</v>
      </c>
      <c r="AS149" s="1944">
        <v>0.7</v>
      </c>
      <c r="AT149" s="2006"/>
      <c r="AU149" s="1957"/>
      <c r="AV149" s="1957"/>
      <c r="AX149" s="1937" t="s">
        <v>2782</v>
      </c>
      <c r="AY149" s="1941" t="s">
        <v>175</v>
      </c>
      <c r="AZ149" s="1942" t="s">
        <v>2783</v>
      </c>
      <c r="BA149" s="1944">
        <v>0.7</v>
      </c>
      <c r="BB149" s="1944">
        <v>0.7</v>
      </c>
      <c r="BC149" s="1944">
        <v>0.7</v>
      </c>
      <c r="BD149" s="1944">
        <v>0.7</v>
      </c>
      <c r="BE149" s="1944">
        <v>0.7</v>
      </c>
      <c r="BF149" s="1944">
        <v>0.7</v>
      </c>
      <c r="BG149" s="1944">
        <v>0.7</v>
      </c>
      <c r="BH149" s="1951">
        <v>0.7</v>
      </c>
      <c r="BI149" s="1944">
        <v>0.7</v>
      </c>
      <c r="BJ149" s="1944">
        <v>0.7</v>
      </c>
      <c r="BK149" s="2006"/>
      <c r="BL149" s="1957"/>
      <c r="BM149" s="1957"/>
      <c r="BO149" s="1937" t="s">
        <v>2782</v>
      </c>
      <c r="BP149" s="1941" t="s">
        <v>175</v>
      </c>
      <c r="BQ149" s="1942" t="s">
        <v>2783</v>
      </c>
      <c r="BR149" s="1944">
        <v>0.7</v>
      </c>
      <c r="BS149" s="1944">
        <v>0.7</v>
      </c>
      <c r="BT149" s="1944">
        <v>0.7</v>
      </c>
      <c r="BU149" s="1944">
        <v>0.7</v>
      </c>
      <c r="BV149" s="1944">
        <v>0.7</v>
      </c>
      <c r="BW149" s="1944">
        <v>0.7</v>
      </c>
      <c r="BX149" s="1944">
        <v>0.7</v>
      </c>
      <c r="BY149" s="1951">
        <v>0.7</v>
      </c>
      <c r="BZ149" s="1944">
        <v>0.7</v>
      </c>
      <c r="CA149" s="1944">
        <v>0.7</v>
      </c>
      <c r="CB149" s="2006"/>
      <c r="CC149" s="1957"/>
      <c r="CD149" s="1957"/>
      <c r="CE149" s="2266"/>
      <c r="CG149" s="1937" t="s">
        <v>260</v>
      </c>
      <c r="CH149" s="1941" t="s">
        <v>175</v>
      </c>
      <c r="CI149" s="1942" t="s">
        <v>2783</v>
      </c>
      <c r="CJ149" s="2706">
        <f t="shared" si="167"/>
        <v>0.7</v>
      </c>
      <c r="CK149" s="2706">
        <f t="shared" si="171"/>
        <v>0.7</v>
      </c>
      <c r="CL149" s="2706">
        <f t="shared" si="172"/>
        <v>0.7</v>
      </c>
      <c r="CM149" s="2706">
        <f t="shared" si="173"/>
        <v>0.7</v>
      </c>
      <c r="CN149" s="2706">
        <f t="shared" si="174"/>
        <v>0.7</v>
      </c>
      <c r="CO149" s="2706">
        <f t="shared" si="175"/>
        <v>0.7</v>
      </c>
      <c r="CP149" s="2706">
        <f t="shared" si="176"/>
        <v>0.7</v>
      </c>
      <c r="CQ149" s="2706">
        <f t="shared" si="177"/>
        <v>0.7</v>
      </c>
      <c r="CR149" s="2706">
        <f t="shared" si="178"/>
        <v>0.7</v>
      </c>
      <c r="CS149" s="2706">
        <f t="shared" si="179"/>
        <v>0.7</v>
      </c>
      <c r="CT149" s="2731">
        <f t="shared" si="164"/>
        <v>0</v>
      </c>
      <c r="CU149" s="2712">
        <f t="shared" si="165"/>
        <v>0</v>
      </c>
      <c r="CV149" s="2712">
        <f t="shared" si="166"/>
        <v>0</v>
      </c>
      <c r="CX149" s="1937" t="s">
        <v>260</v>
      </c>
      <c r="CY149" s="1941" t="s">
        <v>175</v>
      </c>
      <c r="CZ149" s="1942" t="s">
        <v>2783</v>
      </c>
      <c r="DA149" s="2695">
        <f t="shared" si="153"/>
        <v>0.7</v>
      </c>
      <c r="DB149" s="2695"/>
      <c r="DC149" s="2695"/>
      <c r="DD149" s="2695"/>
      <c r="DE149" s="2695"/>
      <c r="DF149" s="2695"/>
      <c r="DG149" s="2695"/>
      <c r="DH149" s="2695"/>
      <c r="DI149" s="2695"/>
      <c r="DJ149" s="2695"/>
      <c r="DK149" s="2922"/>
      <c r="DL149" s="2908"/>
      <c r="DM149" s="2908"/>
    </row>
    <row r="150" spans="1:117">
      <c r="B150" s="1916" t="str">
        <f t="shared" si="180"/>
        <v>1.2.2</v>
      </c>
      <c r="C150" s="1938" t="str">
        <f t="shared" si="147"/>
        <v>雑排水等再利用システム導入の有無</v>
      </c>
      <c r="D150" s="1926" t="e">
        <f>IF(I$148&gt;0,G150/I$148,0)</f>
        <v>#DIV/0!</v>
      </c>
      <c r="E150" s="1936" t="e">
        <f>IF(J$148&gt;0,H150/J$148,0)</f>
        <v>#DIV/0!</v>
      </c>
      <c r="G150" s="1936" t="e">
        <f t="shared" si="168"/>
        <v>#DIV/0!</v>
      </c>
      <c r="H150" s="1936" t="e">
        <f t="shared" si="169"/>
        <v>#DIV/0!</v>
      </c>
      <c r="I150" s="1936"/>
      <c r="J150" s="1936"/>
      <c r="K150" s="1936">
        <f>IF(スコア!O150=0,0,1)</f>
        <v>1</v>
      </c>
      <c r="L150" s="1936">
        <f>IF(スコア!R150=0,0,1)</f>
        <v>0</v>
      </c>
      <c r="M150" s="1936" t="e">
        <f>SUMPRODUCT($S$7:$AB$7,S150:AB150)</f>
        <v>#DIV/0!</v>
      </c>
      <c r="N150" s="1936" t="e">
        <f t="shared" si="132"/>
        <v>#DIV/0!</v>
      </c>
      <c r="P150" s="1937" t="str">
        <f t="shared" si="149"/>
        <v>1.2.2</v>
      </c>
      <c r="Q150" s="1937" t="str">
        <f t="shared" si="150"/>
        <v>LR2 1.2</v>
      </c>
      <c r="R150" s="1938" t="str">
        <f t="shared" si="151"/>
        <v>雑排水等再利用システム導入の有無</v>
      </c>
      <c r="S150" s="2799">
        <f t="shared" si="133"/>
        <v>0.3</v>
      </c>
      <c r="T150" s="2799">
        <f t="shared" si="134"/>
        <v>0.3</v>
      </c>
      <c r="U150" s="2799">
        <f t="shared" si="135"/>
        <v>0.3</v>
      </c>
      <c r="V150" s="2799">
        <f t="shared" si="136"/>
        <v>0.3</v>
      </c>
      <c r="W150" s="2799">
        <f t="shared" si="137"/>
        <v>0.3</v>
      </c>
      <c r="X150" s="2799">
        <f t="shared" si="138"/>
        <v>0.3</v>
      </c>
      <c r="Y150" s="2799">
        <f t="shared" si="139"/>
        <v>0.3</v>
      </c>
      <c r="Z150" s="2801">
        <f t="shared" si="140"/>
        <v>0.3</v>
      </c>
      <c r="AA150" s="2799">
        <f t="shared" si="141"/>
        <v>0.3</v>
      </c>
      <c r="AB150" s="2799">
        <f t="shared" si="142"/>
        <v>0.3</v>
      </c>
      <c r="AC150" s="2820">
        <f t="shared" si="143"/>
        <v>0</v>
      </c>
      <c r="AD150" s="2804">
        <f t="shared" si="144"/>
        <v>0</v>
      </c>
      <c r="AE150" s="2804">
        <f t="shared" si="145"/>
        <v>0</v>
      </c>
      <c r="AG150" s="1937" t="s">
        <v>2784</v>
      </c>
      <c r="AH150" s="1941" t="s">
        <v>175</v>
      </c>
      <c r="AI150" s="1942" t="s">
        <v>176</v>
      </c>
      <c r="AJ150" s="1944">
        <v>0.3</v>
      </c>
      <c r="AK150" s="1944">
        <v>0.3</v>
      </c>
      <c r="AL150" s="1944">
        <v>0.3</v>
      </c>
      <c r="AM150" s="1944">
        <v>0.3</v>
      </c>
      <c r="AN150" s="1944">
        <v>0.3</v>
      </c>
      <c r="AO150" s="1944">
        <v>0.3</v>
      </c>
      <c r="AP150" s="1944">
        <v>0.3</v>
      </c>
      <c r="AQ150" s="1951">
        <v>0.3</v>
      </c>
      <c r="AR150" s="1944">
        <v>0.3</v>
      </c>
      <c r="AS150" s="1944">
        <v>0.3</v>
      </c>
      <c r="AT150" s="2006"/>
      <c r="AU150" s="1957"/>
      <c r="AV150" s="1957"/>
      <c r="AX150" s="1937" t="s">
        <v>2784</v>
      </c>
      <c r="AY150" s="1941" t="s">
        <v>175</v>
      </c>
      <c r="AZ150" s="1942" t="s">
        <v>176</v>
      </c>
      <c r="BA150" s="1944">
        <v>0.3</v>
      </c>
      <c r="BB150" s="1944">
        <v>0.3</v>
      </c>
      <c r="BC150" s="1944">
        <v>0.3</v>
      </c>
      <c r="BD150" s="1944">
        <v>0.3</v>
      </c>
      <c r="BE150" s="1944">
        <v>0.3</v>
      </c>
      <c r="BF150" s="1944">
        <v>0.3</v>
      </c>
      <c r="BG150" s="1944">
        <v>0.3</v>
      </c>
      <c r="BH150" s="1951">
        <v>0.3</v>
      </c>
      <c r="BI150" s="1944">
        <v>0.3</v>
      </c>
      <c r="BJ150" s="1944">
        <v>0.3</v>
      </c>
      <c r="BK150" s="2006"/>
      <c r="BL150" s="1957"/>
      <c r="BM150" s="1957"/>
      <c r="BO150" s="1937" t="s">
        <v>2784</v>
      </c>
      <c r="BP150" s="1941" t="s">
        <v>175</v>
      </c>
      <c r="BQ150" s="1942" t="s">
        <v>176</v>
      </c>
      <c r="BR150" s="1944">
        <v>0.3</v>
      </c>
      <c r="BS150" s="1944">
        <v>0.3</v>
      </c>
      <c r="BT150" s="1944">
        <v>0.3</v>
      </c>
      <c r="BU150" s="1944">
        <v>0.3</v>
      </c>
      <c r="BV150" s="1944">
        <v>0.3</v>
      </c>
      <c r="BW150" s="1944">
        <v>0.3</v>
      </c>
      <c r="BX150" s="1944">
        <v>0.3</v>
      </c>
      <c r="BY150" s="1951">
        <v>0.3</v>
      </c>
      <c r="BZ150" s="1944">
        <v>0.3</v>
      </c>
      <c r="CA150" s="1944">
        <v>0.3</v>
      </c>
      <c r="CB150" s="2006"/>
      <c r="CC150" s="1957"/>
      <c r="CD150" s="1957"/>
      <c r="CE150" s="2266"/>
      <c r="CG150" s="1937" t="s">
        <v>262</v>
      </c>
      <c r="CH150" s="1941" t="s">
        <v>175</v>
      </c>
      <c r="CI150" s="1942" t="s">
        <v>176</v>
      </c>
      <c r="CJ150" s="2706">
        <f t="shared" si="167"/>
        <v>0.3</v>
      </c>
      <c r="CK150" s="2706">
        <f t="shared" si="171"/>
        <v>0.3</v>
      </c>
      <c r="CL150" s="2706">
        <f t="shared" si="172"/>
        <v>0.3</v>
      </c>
      <c r="CM150" s="2706">
        <f t="shared" si="173"/>
        <v>0.3</v>
      </c>
      <c r="CN150" s="2706">
        <f t="shared" si="174"/>
        <v>0.3</v>
      </c>
      <c r="CO150" s="2706">
        <f t="shared" si="175"/>
        <v>0.3</v>
      </c>
      <c r="CP150" s="2706">
        <f t="shared" si="176"/>
        <v>0.3</v>
      </c>
      <c r="CQ150" s="2706">
        <f t="shared" si="177"/>
        <v>0.3</v>
      </c>
      <c r="CR150" s="2706">
        <f t="shared" si="178"/>
        <v>0.3</v>
      </c>
      <c r="CS150" s="2706">
        <f t="shared" si="179"/>
        <v>0.3</v>
      </c>
      <c r="CT150" s="2731">
        <f t="shared" si="164"/>
        <v>0</v>
      </c>
      <c r="CU150" s="2712">
        <f t="shared" si="165"/>
        <v>0</v>
      </c>
      <c r="CV150" s="2712">
        <f t="shared" si="166"/>
        <v>0</v>
      </c>
      <c r="CX150" s="1937" t="s">
        <v>262</v>
      </c>
      <c r="CY150" s="1941" t="s">
        <v>175</v>
      </c>
      <c r="CZ150" s="1942" t="s">
        <v>176</v>
      </c>
      <c r="DA150" s="2695">
        <f t="shared" si="153"/>
        <v>0.3</v>
      </c>
      <c r="DB150" s="2695"/>
      <c r="DC150" s="2695"/>
      <c r="DD150" s="2695"/>
      <c r="DE150" s="2695"/>
      <c r="DF150" s="2695"/>
      <c r="DG150" s="2695"/>
      <c r="DH150" s="2695"/>
      <c r="DI150" s="2695"/>
      <c r="DJ150" s="2695"/>
      <c r="DK150" s="2922"/>
      <c r="DL150" s="2908"/>
      <c r="DM150" s="2908"/>
    </row>
    <row r="151" spans="1:117">
      <c r="B151" s="1916">
        <f t="shared" si="180"/>
        <v>2</v>
      </c>
      <c r="C151" s="1928" t="str">
        <f t="shared" si="147"/>
        <v>非再生性資源の使用量削減</v>
      </c>
      <c r="D151" s="1924" t="e">
        <f>IF(I$145=0,0,G151/I$145)</f>
        <v>#DIV/0!</v>
      </c>
      <c r="E151" s="1925" t="e">
        <f>IF(J$145=0,0,H151/J$145)</f>
        <v>#DIV/0!</v>
      </c>
      <c r="G151" s="1925" t="e">
        <f t="shared" si="168"/>
        <v>#DIV/0!</v>
      </c>
      <c r="H151" s="1925" t="e">
        <f t="shared" si="169"/>
        <v>#DIV/0!</v>
      </c>
      <c r="I151" s="1925" t="e">
        <f>G152+G153+G154+G155+G156+G157+G158+G165</f>
        <v>#DIV/0!</v>
      </c>
      <c r="J151" s="1925" t="e">
        <f>H152+H153+H154+H155+H156+H157+H158+H165</f>
        <v>#DIV/0!</v>
      </c>
      <c r="K151" s="1925" t="e">
        <f>IF(スコア!O151=0,0,1)</f>
        <v>#DIV/0!</v>
      </c>
      <c r="L151" s="1925" t="e">
        <f>IF(スコア!R151=0,0,1)</f>
        <v>#DIV/0!</v>
      </c>
      <c r="M151" s="1925" t="e">
        <f t="shared" si="170"/>
        <v>#DIV/0!</v>
      </c>
      <c r="N151" s="1925" t="e">
        <f t="shared" si="132"/>
        <v>#DIV/0!</v>
      </c>
      <c r="P151" s="1927">
        <f t="shared" si="149"/>
        <v>2</v>
      </c>
      <c r="Q151" s="1927" t="str">
        <f t="shared" si="150"/>
        <v>LR2</v>
      </c>
      <c r="R151" s="1928" t="str">
        <f t="shared" si="151"/>
        <v>非再生性資源の使用量削減</v>
      </c>
      <c r="S151" s="2796">
        <f t="shared" si="133"/>
        <v>0.6</v>
      </c>
      <c r="T151" s="2796">
        <f t="shared" si="134"/>
        <v>0.6</v>
      </c>
      <c r="U151" s="2796">
        <f t="shared" si="135"/>
        <v>0.6</v>
      </c>
      <c r="V151" s="2796">
        <f t="shared" si="136"/>
        <v>0.6</v>
      </c>
      <c r="W151" s="2796">
        <f t="shared" si="137"/>
        <v>0.6</v>
      </c>
      <c r="X151" s="2796">
        <f t="shared" si="138"/>
        <v>0.6</v>
      </c>
      <c r="Y151" s="2796">
        <f t="shared" si="139"/>
        <v>0.6</v>
      </c>
      <c r="Z151" s="2810">
        <f t="shared" si="140"/>
        <v>0.6</v>
      </c>
      <c r="AA151" s="2796">
        <f t="shared" si="141"/>
        <v>0.6</v>
      </c>
      <c r="AB151" s="2796">
        <f t="shared" si="142"/>
        <v>0.6</v>
      </c>
      <c r="AC151" s="2818">
        <f t="shared" si="143"/>
        <v>0</v>
      </c>
      <c r="AD151" s="2819">
        <f t="shared" si="144"/>
        <v>0</v>
      </c>
      <c r="AE151" s="2819">
        <f t="shared" si="145"/>
        <v>0</v>
      </c>
      <c r="AG151" s="1927">
        <v>2</v>
      </c>
      <c r="AH151" s="1931" t="s">
        <v>1605</v>
      </c>
      <c r="AI151" s="1953" t="s">
        <v>1282</v>
      </c>
      <c r="AJ151" s="1932">
        <v>0.6</v>
      </c>
      <c r="AK151" s="1932">
        <v>0.6</v>
      </c>
      <c r="AL151" s="1932">
        <v>0.6</v>
      </c>
      <c r="AM151" s="1932">
        <v>0.6</v>
      </c>
      <c r="AN151" s="1932">
        <v>0.6</v>
      </c>
      <c r="AO151" s="1932">
        <v>0.6</v>
      </c>
      <c r="AP151" s="1932">
        <v>0.6</v>
      </c>
      <c r="AQ151" s="1932">
        <v>0.6</v>
      </c>
      <c r="AR151" s="1932">
        <v>0.6</v>
      </c>
      <c r="AS151" s="1932">
        <v>0.6</v>
      </c>
      <c r="AT151" s="2004"/>
      <c r="AU151" s="2005"/>
      <c r="AV151" s="2005"/>
      <c r="AX151" s="1927">
        <v>2</v>
      </c>
      <c r="AY151" s="1931" t="s">
        <v>1605</v>
      </c>
      <c r="AZ151" s="1953" t="s">
        <v>1282</v>
      </c>
      <c r="BA151" s="1932">
        <v>0.6</v>
      </c>
      <c r="BB151" s="1932">
        <v>0.6</v>
      </c>
      <c r="BC151" s="1932">
        <v>0.6</v>
      </c>
      <c r="BD151" s="1932">
        <v>0.6</v>
      </c>
      <c r="BE151" s="1932">
        <v>0.6</v>
      </c>
      <c r="BF151" s="1932">
        <v>0.6</v>
      </c>
      <c r="BG151" s="1932">
        <v>0.6</v>
      </c>
      <c r="BH151" s="1932">
        <v>0.6</v>
      </c>
      <c r="BI151" s="1932">
        <v>0.6</v>
      </c>
      <c r="BJ151" s="1932">
        <v>0.6</v>
      </c>
      <c r="BK151" s="2004"/>
      <c r="BL151" s="2005"/>
      <c r="BM151" s="2005"/>
      <c r="BO151" s="1927">
        <v>2</v>
      </c>
      <c r="BP151" s="1931" t="s">
        <v>1605</v>
      </c>
      <c r="BQ151" s="1953" t="s">
        <v>1282</v>
      </c>
      <c r="BR151" s="1932">
        <v>0.6</v>
      </c>
      <c r="BS151" s="1932">
        <v>0.6</v>
      </c>
      <c r="BT151" s="1932">
        <v>0.6</v>
      </c>
      <c r="BU151" s="1932">
        <v>0.6</v>
      </c>
      <c r="BV151" s="1932">
        <v>0.6</v>
      </c>
      <c r="BW151" s="1932">
        <v>0.6</v>
      </c>
      <c r="BX151" s="1932">
        <v>0.6</v>
      </c>
      <c r="BY151" s="1932">
        <v>0.6</v>
      </c>
      <c r="BZ151" s="1932">
        <v>0.6</v>
      </c>
      <c r="CA151" s="1932">
        <v>0.6</v>
      </c>
      <c r="CB151" s="2004"/>
      <c r="CC151" s="2005"/>
      <c r="CD151" s="2005"/>
      <c r="CE151" s="2276"/>
      <c r="CG151" s="1927">
        <v>2</v>
      </c>
      <c r="CH151" s="1931" t="s">
        <v>1605</v>
      </c>
      <c r="CI151" s="1953" t="s">
        <v>1282</v>
      </c>
      <c r="CJ151" s="2693">
        <v>0.85</v>
      </c>
      <c r="CK151" s="2693">
        <v>0.85</v>
      </c>
      <c r="CL151" s="2693">
        <v>0.85</v>
      </c>
      <c r="CM151" s="2693">
        <v>0.85</v>
      </c>
      <c r="CN151" s="2693">
        <v>0.85</v>
      </c>
      <c r="CO151" s="2693">
        <v>0.85</v>
      </c>
      <c r="CP151" s="2693">
        <v>0.85</v>
      </c>
      <c r="CQ151" s="2693">
        <v>0.85</v>
      </c>
      <c r="CR151" s="2693">
        <v>0.85</v>
      </c>
      <c r="CS151" s="2693">
        <v>0.85</v>
      </c>
      <c r="CT151" s="2729">
        <f t="shared" si="164"/>
        <v>0</v>
      </c>
      <c r="CU151" s="2730">
        <f t="shared" si="165"/>
        <v>0</v>
      </c>
      <c r="CV151" s="2730">
        <f t="shared" si="166"/>
        <v>0</v>
      </c>
      <c r="CX151" s="1927">
        <v>2</v>
      </c>
      <c r="CY151" s="1931" t="s">
        <v>1605</v>
      </c>
      <c r="CZ151" s="1953" t="s">
        <v>1282</v>
      </c>
      <c r="DA151" s="2932">
        <v>0.5</v>
      </c>
      <c r="DB151" s="2693"/>
      <c r="DC151" s="2693"/>
      <c r="DD151" s="2693"/>
      <c r="DE151" s="2693"/>
      <c r="DF151" s="2693"/>
      <c r="DG151" s="2693"/>
      <c r="DH151" s="2693"/>
      <c r="DI151" s="2693"/>
      <c r="DJ151" s="2693"/>
      <c r="DK151" s="2920"/>
      <c r="DL151" s="2921"/>
      <c r="DM151" s="2921"/>
    </row>
    <row r="152" spans="1:117">
      <c r="B152" s="1916" t="str">
        <f t="shared" si="180"/>
        <v>2.1</v>
      </c>
      <c r="C152" s="1938" t="str">
        <f t="shared" si="147"/>
        <v>材料使用量の削減</v>
      </c>
      <c r="D152" s="1935" t="e">
        <f>IF(I$151=0,0,G152/I$151)</f>
        <v>#DIV/0!</v>
      </c>
      <c r="E152" s="1936" t="e">
        <f t="shared" ref="D152:E156" si="181">IF(J$151=0,0,H152/J$151)</f>
        <v>#DIV/0!</v>
      </c>
      <c r="G152" s="1936" t="e">
        <f t="shared" si="168"/>
        <v>#DIV/0!</v>
      </c>
      <c r="H152" s="1936" t="e">
        <f>L152*N152</f>
        <v>#DIV/0!</v>
      </c>
      <c r="I152" s="1936"/>
      <c r="J152" s="1936"/>
      <c r="K152" s="1936">
        <f>IF(スコア!O152=0,0,1)</f>
        <v>1</v>
      </c>
      <c r="L152" s="1936">
        <f>IF(スコア!R152=0,0,1)</f>
        <v>0</v>
      </c>
      <c r="M152" s="1936" t="e">
        <f t="shared" si="170"/>
        <v>#DIV/0!</v>
      </c>
      <c r="N152" s="1936" t="e">
        <f t="shared" si="132"/>
        <v>#DIV/0!</v>
      </c>
      <c r="P152" s="1937" t="str">
        <f t="shared" si="149"/>
        <v>2.1</v>
      </c>
      <c r="Q152" s="1937" t="str">
        <f t="shared" si="150"/>
        <v>LR2 2</v>
      </c>
      <c r="R152" s="1938" t="str">
        <f t="shared" si="151"/>
        <v>材料使用量の削減</v>
      </c>
      <c r="S152" s="2799">
        <f t="shared" si="133"/>
        <v>0.1</v>
      </c>
      <c r="T152" s="2799">
        <f t="shared" si="134"/>
        <v>0.1</v>
      </c>
      <c r="U152" s="2799">
        <f t="shared" si="135"/>
        <v>0.1</v>
      </c>
      <c r="V152" s="2799">
        <f t="shared" si="136"/>
        <v>0.1</v>
      </c>
      <c r="W152" s="2799">
        <f t="shared" si="137"/>
        <v>0.1</v>
      </c>
      <c r="X152" s="2799">
        <f t="shared" si="138"/>
        <v>0.1</v>
      </c>
      <c r="Y152" s="2799">
        <f t="shared" si="139"/>
        <v>0.1</v>
      </c>
      <c r="Z152" s="2801">
        <f t="shared" si="140"/>
        <v>0.1</v>
      </c>
      <c r="AA152" s="2799">
        <f t="shared" si="141"/>
        <v>0.1</v>
      </c>
      <c r="AB152" s="2799">
        <f t="shared" si="142"/>
        <v>0.1</v>
      </c>
      <c r="AC152" s="2820">
        <f t="shared" si="143"/>
        <v>0</v>
      </c>
      <c r="AD152" s="2804">
        <f t="shared" si="144"/>
        <v>0</v>
      </c>
      <c r="AE152" s="2804">
        <f t="shared" si="145"/>
        <v>0</v>
      </c>
      <c r="AG152" s="1937" t="s">
        <v>2785</v>
      </c>
      <c r="AH152" s="1931" t="s">
        <v>177</v>
      </c>
      <c r="AI152" s="1942" t="s">
        <v>1283</v>
      </c>
      <c r="AJ152" s="1990">
        <v>0.1</v>
      </c>
      <c r="AK152" s="1990">
        <v>0.1</v>
      </c>
      <c r="AL152" s="1990">
        <v>0.1</v>
      </c>
      <c r="AM152" s="1990">
        <v>0.1</v>
      </c>
      <c r="AN152" s="1990">
        <v>0.1</v>
      </c>
      <c r="AO152" s="1990">
        <v>0.1</v>
      </c>
      <c r="AP152" s="1990">
        <v>0.1</v>
      </c>
      <c r="AQ152" s="1990">
        <v>0.1</v>
      </c>
      <c r="AR152" s="1990">
        <v>0.1</v>
      </c>
      <c r="AS152" s="1990">
        <v>0.1</v>
      </c>
      <c r="AT152" s="2007"/>
      <c r="AU152" s="2005"/>
      <c r="AV152" s="2005"/>
      <c r="AX152" s="1937" t="s">
        <v>2786</v>
      </c>
      <c r="AY152" s="1931" t="s">
        <v>177</v>
      </c>
      <c r="AZ152" s="1942" t="s">
        <v>1283</v>
      </c>
      <c r="BA152" s="1990">
        <v>0.1</v>
      </c>
      <c r="BB152" s="1990">
        <v>0.1</v>
      </c>
      <c r="BC152" s="1990">
        <v>0.1</v>
      </c>
      <c r="BD152" s="1990">
        <v>0.1</v>
      </c>
      <c r="BE152" s="1990">
        <v>0.1</v>
      </c>
      <c r="BF152" s="1990">
        <v>0.1</v>
      </c>
      <c r="BG152" s="1990">
        <v>0.1</v>
      </c>
      <c r="BH152" s="1990">
        <v>0.1</v>
      </c>
      <c r="BI152" s="1990">
        <v>0.1</v>
      </c>
      <c r="BJ152" s="1990">
        <v>0.1</v>
      </c>
      <c r="BK152" s="2007"/>
      <c r="BL152" s="2005"/>
      <c r="BM152" s="2005"/>
      <c r="BO152" s="1937" t="s">
        <v>2786</v>
      </c>
      <c r="BP152" s="1931" t="s">
        <v>177</v>
      </c>
      <c r="BQ152" s="1942" t="s">
        <v>1283</v>
      </c>
      <c r="BR152" s="1990">
        <v>0.1</v>
      </c>
      <c r="BS152" s="1990">
        <v>0.1</v>
      </c>
      <c r="BT152" s="1990">
        <v>0.1</v>
      </c>
      <c r="BU152" s="1990">
        <v>0.1</v>
      </c>
      <c r="BV152" s="1990">
        <v>0.1</v>
      </c>
      <c r="BW152" s="1990">
        <v>0.1</v>
      </c>
      <c r="BX152" s="1990">
        <v>0.1</v>
      </c>
      <c r="BY152" s="1990">
        <v>0.1</v>
      </c>
      <c r="BZ152" s="1990">
        <v>0.1</v>
      </c>
      <c r="CA152" s="1990">
        <v>0.1</v>
      </c>
      <c r="CB152" s="2004"/>
      <c r="CC152" s="2005"/>
      <c r="CD152" s="2005"/>
      <c r="CE152" s="2276"/>
      <c r="CG152" s="1937" t="s">
        <v>1414</v>
      </c>
      <c r="CH152" s="1931" t="s">
        <v>177</v>
      </c>
      <c r="CI152" s="1942" t="s">
        <v>1283</v>
      </c>
      <c r="CJ152" s="2698">
        <v>0</v>
      </c>
      <c r="CK152" s="2698">
        <v>0</v>
      </c>
      <c r="CL152" s="2698">
        <v>0</v>
      </c>
      <c r="CM152" s="2698">
        <v>0</v>
      </c>
      <c r="CN152" s="2698">
        <v>0</v>
      </c>
      <c r="CO152" s="2698">
        <v>0</v>
      </c>
      <c r="CP152" s="2698">
        <v>0</v>
      </c>
      <c r="CQ152" s="2698">
        <v>0</v>
      </c>
      <c r="CR152" s="2698">
        <v>0</v>
      </c>
      <c r="CS152" s="2698">
        <v>0</v>
      </c>
      <c r="CT152" s="2729">
        <f t="shared" si="164"/>
        <v>0</v>
      </c>
      <c r="CU152" s="2730">
        <f t="shared" si="165"/>
        <v>0</v>
      </c>
      <c r="CV152" s="2730">
        <f t="shared" si="166"/>
        <v>0</v>
      </c>
      <c r="CX152" s="1937" t="s">
        <v>1414</v>
      </c>
      <c r="CY152" s="1931" t="s">
        <v>177</v>
      </c>
      <c r="CZ152" s="1942" t="s">
        <v>1283</v>
      </c>
      <c r="DA152" s="2935">
        <v>0</v>
      </c>
      <c r="DB152" s="2698"/>
      <c r="DC152" s="2698"/>
      <c r="DD152" s="2698"/>
      <c r="DE152" s="2698"/>
      <c r="DF152" s="2698"/>
      <c r="DG152" s="2698"/>
      <c r="DH152" s="2698"/>
      <c r="DI152" s="2698"/>
      <c r="DJ152" s="2698"/>
      <c r="DK152" s="2920"/>
      <c r="DL152" s="2921"/>
      <c r="DM152" s="2921"/>
    </row>
    <row r="153" spans="1:117">
      <c r="B153" s="1916" t="str">
        <f t="shared" si="180"/>
        <v>2.2</v>
      </c>
      <c r="C153" s="1938" t="str">
        <f t="shared" si="147"/>
        <v>既存建築躯体等の継続使用</v>
      </c>
      <c r="D153" s="1935" t="e">
        <f t="shared" si="181"/>
        <v>#DIV/0!</v>
      </c>
      <c r="E153" s="1936" t="e">
        <f t="shared" si="181"/>
        <v>#DIV/0!</v>
      </c>
      <c r="G153" s="1936" t="e">
        <f t="shared" si="168"/>
        <v>#DIV/0!</v>
      </c>
      <c r="H153" s="1936" t="e">
        <f t="shared" si="169"/>
        <v>#DIV/0!</v>
      </c>
      <c r="I153" s="1936"/>
      <c r="J153" s="1936"/>
      <c r="K153" s="1936">
        <f>IF(スコア!O153=0,0,1)</f>
        <v>1</v>
      </c>
      <c r="L153" s="1936">
        <f>IF(スコア!R153=0,0,1)</f>
        <v>0</v>
      </c>
      <c r="M153" s="1936" t="e">
        <f t="shared" si="170"/>
        <v>#DIV/0!</v>
      </c>
      <c r="N153" s="1936" t="e">
        <f t="shared" si="132"/>
        <v>#DIV/0!</v>
      </c>
      <c r="P153" s="1937" t="str">
        <f t="shared" si="149"/>
        <v>2.2</v>
      </c>
      <c r="Q153" s="1937" t="str">
        <f t="shared" si="150"/>
        <v>LR2 2</v>
      </c>
      <c r="R153" s="1938" t="str">
        <f t="shared" si="151"/>
        <v>既存建築躯体等の継続使用</v>
      </c>
      <c r="S153" s="2799">
        <f t="shared" si="133"/>
        <v>0.2</v>
      </c>
      <c r="T153" s="2799">
        <f t="shared" si="134"/>
        <v>0.2</v>
      </c>
      <c r="U153" s="2799">
        <f t="shared" si="135"/>
        <v>0.2</v>
      </c>
      <c r="V153" s="2799">
        <f t="shared" si="136"/>
        <v>0.2</v>
      </c>
      <c r="W153" s="2799">
        <f t="shared" si="137"/>
        <v>0.2</v>
      </c>
      <c r="X153" s="2799">
        <f t="shared" si="138"/>
        <v>0.2</v>
      </c>
      <c r="Y153" s="2799">
        <f t="shared" si="139"/>
        <v>0.2</v>
      </c>
      <c r="Z153" s="2801">
        <f t="shared" si="140"/>
        <v>0.2</v>
      </c>
      <c r="AA153" s="2799">
        <f t="shared" si="141"/>
        <v>0.2</v>
      </c>
      <c r="AB153" s="2799">
        <f t="shared" si="142"/>
        <v>0.2</v>
      </c>
      <c r="AC153" s="2820">
        <f t="shared" si="143"/>
        <v>0</v>
      </c>
      <c r="AD153" s="2804">
        <f t="shared" si="144"/>
        <v>0</v>
      </c>
      <c r="AE153" s="2804">
        <f t="shared" si="145"/>
        <v>0</v>
      </c>
      <c r="AG153" s="1937" t="s">
        <v>2787</v>
      </c>
      <c r="AH153" s="1941" t="s">
        <v>177</v>
      </c>
      <c r="AI153" s="1938" t="s">
        <v>1284</v>
      </c>
      <c r="AJ153" s="1944">
        <v>0.2</v>
      </c>
      <c r="AK153" s="1944">
        <v>0.2</v>
      </c>
      <c r="AL153" s="1944">
        <v>0.2</v>
      </c>
      <c r="AM153" s="1944">
        <v>0.2</v>
      </c>
      <c r="AN153" s="1944">
        <v>0.2</v>
      </c>
      <c r="AO153" s="1944">
        <v>0.2</v>
      </c>
      <c r="AP153" s="1944">
        <v>0.2</v>
      </c>
      <c r="AQ153" s="1944">
        <v>0.2</v>
      </c>
      <c r="AR153" s="1944">
        <v>0.2</v>
      </c>
      <c r="AS153" s="1944">
        <v>0.2</v>
      </c>
      <c r="AT153" s="2006"/>
      <c r="AU153" s="1957"/>
      <c r="AV153" s="1957"/>
      <c r="AX153" s="1937" t="s">
        <v>2788</v>
      </c>
      <c r="AY153" s="1941" t="s">
        <v>177</v>
      </c>
      <c r="AZ153" s="1938" t="s">
        <v>1284</v>
      </c>
      <c r="BA153" s="1944">
        <v>0.2</v>
      </c>
      <c r="BB153" s="1944">
        <v>0.2</v>
      </c>
      <c r="BC153" s="1944">
        <v>0.2</v>
      </c>
      <c r="BD153" s="1944">
        <v>0.2</v>
      </c>
      <c r="BE153" s="1944">
        <v>0.2</v>
      </c>
      <c r="BF153" s="1944">
        <v>0.2</v>
      </c>
      <c r="BG153" s="1944">
        <v>0.2</v>
      </c>
      <c r="BH153" s="1944">
        <v>0.2</v>
      </c>
      <c r="BI153" s="1944">
        <v>0.2</v>
      </c>
      <c r="BJ153" s="1944">
        <v>0.2</v>
      </c>
      <c r="BK153" s="2006"/>
      <c r="BL153" s="1957"/>
      <c r="BM153" s="1957"/>
      <c r="BO153" s="1937" t="s">
        <v>2788</v>
      </c>
      <c r="BP153" s="1941" t="s">
        <v>177</v>
      </c>
      <c r="BQ153" s="1938" t="s">
        <v>1284</v>
      </c>
      <c r="BR153" s="1944">
        <v>0.2</v>
      </c>
      <c r="BS153" s="1944">
        <v>0.2</v>
      </c>
      <c r="BT153" s="1944">
        <v>0.2</v>
      </c>
      <c r="BU153" s="1944">
        <v>0.2</v>
      </c>
      <c r="BV153" s="1944">
        <v>0.2</v>
      </c>
      <c r="BW153" s="1944">
        <v>0.2</v>
      </c>
      <c r="BX153" s="1944">
        <v>0.2</v>
      </c>
      <c r="BY153" s="1944">
        <v>0.2</v>
      </c>
      <c r="BZ153" s="1944">
        <v>0.2</v>
      </c>
      <c r="CA153" s="1944">
        <v>0.2</v>
      </c>
      <c r="CB153" s="2006"/>
      <c r="CC153" s="1957"/>
      <c r="CD153" s="1957"/>
      <c r="CE153" s="2266"/>
      <c r="CG153" s="1937" t="s">
        <v>1415</v>
      </c>
      <c r="CH153" s="1941" t="s">
        <v>177</v>
      </c>
      <c r="CI153" s="1938" t="s">
        <v>1284</v>
      </c>
      <c r="CJ153" s="2695">
        <v>0</v>
      </c>
      <c r="CK153" s="2695">
        <v>0</v>
      </c>
      <c r="CL153" s="2695">
        <v>0</v>
      </c>
      <c r="CM153" s="2695">
        <v>0</v>
      </c>
      <c r="CN153" s="2695">
        <v>0</v>
      </c>
      <c r="CO153" s="2695">
        <v>0</v>
      </c>
      <c r="CP153" s="2695">
        <v>0</v>
      </c>
      <c r="CQ153" s="2695">
        <v>0</v>
      </c>
      <c r="CR153" s="2695">
        <v>0</v>
      </c>
      <c r="CS153" s="2695">
        <v>0</v>
      </c>
      <c r="CT153" s="2731">
        <f t="shared" si="164"/>
        <v>0</v>
      </c>
      <c r="CU153" s="2712">
        <f t="shared" si="165"/>
        <v>0</v>
      </c>
      <c r="CV153" s="2712">
        <f t="shared" si="166"/>
        <v>0</v>
      </c>
      <c r="CX153" s="1937" t="s">
        <v>1415</v>
      </c>
      <c r="CY153" s="1941" t="s">
        <v>177</v>
      </c>
      <c r="CZ153" s="1938" t="s">
        <v>1284</v>
      </c>
      <c r="DA153" s="2935">
        <v>0</v>
      </c>
      <c r="DB153" s="2695"/>
      <c r="DC153" s="2695"/>
      <c r="DD153" s="2695"/>
      <c r="DE153" s="2695"/>
      <c r="DF153" s="2695"/>
      <c r="DG153" s="2695"/>
      <c r="DH153" s="2695"/>
      <c r="DI153" s="2695"/>
      <c r="DJ153" s="2695"/>
      <c r="DK153" s="2922"/>
      <c r="DL153" s="2908"/>
      <c r="DM153" s="2908"/>
    </row>
    <row r="154" spans="1:117">
      <c r="B154" s="1916" t="str">
        <f t="shared" si="180"/>
        <v>2.3</v>
      </c>
      <c r="C154" s="1938" t="str">
        <f t="shared" si="147"/>
        <v>躯体材料におけるリサイクル材の使用</v>
      </c>
      <c r="D154" s="1935" t="e">
        <f t="shared" si="181"/>
        <v>#DIV/0!</v>
      </c>
      <c r="E154" s="1936" t="e">
        <f t="shared" si="181"/>
        <v>#DIV/0!</v>
      </c>
      <c r="G154" s="1936" t="e">
        <f t="shared" si="168"/>
        <v>#DIV/0!</v>
      </c>
      <c r="H154" s="1936" t="e">
        <f t="shared" si="169"/>
        <v>#DIV/0!</v>
      </c>
      <c r="I154" s="1936"/>
      <c r="J154" s="1936"/>
      <c r="K154" s="1936">
        <f>IF(スコア!O154=0,0,1)</f>
        <v>1</v>
      </c>
      <c r="L154" s="1936">
        <f>IF(スコア!R154=0,0,1)</f>
        <v>0</v>
      </c>
      <c r="M154" s="1936" t="e">
        <f t="shared" si="170"/>
        <v>#DIV/0!</v>
      </c>
      <c r="N154" s="1936" t="e">
        <f t="shared" si="132"/>
        <v>#DIV/0!</v>
      </c>
      <c r="P154" s="1937" t="str">
        <f t="shared" si="149"/>
        <v>2.3</v>
      </c>
      <c r="Q154" s="1937" t="str">
        <f t="shared" si="150"/>
        <v>LR2 2</v>
      </c>
      <c r="R154" s="1938" t="str">
        <f t="shared" si="151"/>
        <v>躯体材料におけるリサイクル材の使用</v>
      </c>
      <c r="S154" s="2799">
        <f t="shared" si="133"/>
        <v>0.2</v>
      </c>
      <c r="T154" s="2799">
        <f t="shared" si="134"/>
        <v>0.2</v>
      </c>
      <c r="U154" s="2799">
        <f t="shared" si="135"/>
        <v>0.2</v>
      </c>
      <c r="V154" s="2799">
        <f t="shared" si="136"/>
        <v>0.2</v>
      </c>
      <c r="W154" s="2799">
        <f t="shared" si="137"/>
        <v>0.2</v>
      </c>
      <c r="X154" s="2799">
        <f t="shared" si="138"/>
        <v>0.2</v>
      </c>
      <c r="Y154" s="2799">
        <f t="shared" si="139"/>
        <v>0.2</v>
      </c>
      <c r="Z154" s="2801">
        <f t="shared" si="140"/>
        <v>0.2</v>
      </c>
      <c r="AA154" s="2799">
        <f t="shared" si="141"/>
        <v>0.2</v>
      </c>
      <c r="AB154" s="2799">
        <f t="shared" si="142"/>
        <v>0.2</v>
      </c>
      <c r="AC154" s="2820">
        <f t="shared" si="143"/>
        <v>0</v>
      </c>
      <c r="AD154" s="2804">
        <f t="shared" si="144"/>
        <v>0</v>
      </c>
      <c r="AE154" s="2804">
        <f t="shared" si="145"/>
        <v>0</v>
      </c>
      <c r="AG154" s="1937" t="s">
        <v>2789</v>
      </c>
      <c r="AH154" s="1941" t="s">
        <v>177</v>
      </c>
      <c r="AI154" s="1938" t="s">
        <v>1285</v>
      </c>
      <c r="AJ154" s="1944">
        <v>0.2</v>
      </c>
      <c r="AK154" s="1944">
        <v>0.2</v>
      </c>
      <c r="AL154" s="1944">
        <v>0.2</v>
      </c>
      <c r="AM154" s="1944">
        <v>0.2</v>
      </c>
      <c r="AN154" s="1944">
        <v>0.2</v>
      </c>
      <c r="AO154" s="1944">
        <v>0.2</v>
      </c>
      <c r="AP154" s="1944">
        <v>0.2</v>
      </c>
      <c r="AQ154" s="1944">
        <v>0.2</v>
      </c>
      <c r="AR154" s="1944">
        <v>0.2</v>
      </c>
      <c r="AS154" s="1944">
        <v>0.2</v>
      </c>
      <c r="AT154" s="2006"/>
      <c r="AU154" s="1957"/>
      <c r="AV154" s="1957"/>
      <c r="AX154" s="1937" t="s">
        <v>2790</v>
      </c>
      <c r="AY154" s="1941" t="s">
        <v>177</v>
      </c>
      <c r="AZ154" s="1938" t="s">
        <v>1285</v>
      </c>
      <c r="BA154" s="1944">
        <v>0.2</v>
      </c>
      <c r="BB154" s="1944">
        <v>0.2</v>
      </c>
      <c r="BC154" s="1944">
        <v>0.2</v>
      </c>
      <c r="BD154" s="1944">
        <v>0.2</v>
      </c>
      <c r="BE154" s="1944">
        <v>0.2</v>
      </c>
      <c r="BF154" s="1944">
        <v>0.2</v>
      </c>
      <c r="BG154" s="1944">
        <v>0.2</v>
      </c>
      <c r="BH154" s="1944">
        <v>0.2</v>
      </c>
      <c r="BI154" s="1944">
        <v>0.2</v>
      </c>
      <c r="BJ154" s="1944">
        <v>0.2</v>
      </c>
      <c r="BK154" s="2006"/>
      <c r="BL154" s="1957"/>
      <c r="BM154" s="1957"/>
      <c r="BO154" s="1937" t="s">
        <v>2790</v>
      </c>
      <c r="BP154" s="1941" t="s">
        <v>177</v>
      </c>
      <c r="BQ154" s="1938" t="s">
        <v>1285</v>
      </c>
      <c r="BR154" s="1944">
        <v>0.2</v>
      </c>
      <c r="BS154" s="1944">
        <v>0.2</v>
      </c>
      <c r="BT154" s="1944">
        <v>0.2</v>
      </c>
      <c r="BU154" s="1944">
        <v>0.2</v>
      </c>
      <c r="BV154" s="1944">
        <v>0.2</v>
      </c>
      <c r="BW154" s="1944">
        <v>0.2</v>
      </c>
      <c r="BX154" s="1944">
        <v>0.2</v>
      </c>
      <c r="BY154" s="1944">
        <v>0.2</v>
      </c>
      <c r="BZ154" s="1944">
        <v>0.2</v>
      </c>
      <c r="CA154" s="1944">
        <v>0.2</v>
      </c>
      <c r="CB154" s="2006"/>
      <c r="CC154" s="1957"/>
      <c r="CD154" s="1957"/>
      <c r="CE154" s="2266"/>
      <c r="CG154" s="1937" t="s">
        <v>1708</v>
      </c>
      <c r="CH154" s="1941" t="s">
        <v>177</v>
      </c>
      <c r="CI154" s="1938" t="s">
        <v>1285</v>
      </c>
      <c r="CJ154" s="2695">
        <v>7.0000000000000007E-2</v>
      </c>
      <c r="CK154" s="2695">
        <v>7.0000000000000007E-2</v>
      </c>
      <c r="CL154" s="2695">
        <v>7.0000000000000007E-2</v>
      </c>
      <c r="CM154" s="2695">
        <v>7.0000000000000007E-2</v>
      </c>
      <c r="CN154" s="2695">
        <v>7.0000000000000007E-2</v>
      </c>
      <c r="CO154" s="2695">
        <v>7.0000000000000007E-2</v>
      </c>
      <c r="CP154" s="2695">
        <v>7.0000000000000007E-2</v>
      </c>
      <c r="CQ154" s="2695">
        <v>7.0000000000000007E-2</v>
      </c>
      <c r="CR154" s="2695">
        <v>7.0000000000000007E-2</v>
      </c>
      <c r="CS154" s="2695">
        <v>7.0000000000000007E-2</v>
      </c>
      <c r="CT154" s="2731">
        <f t="shared" si="164"/>
        <v>0</v>
      </c>
      <c r="CU154" s="2712">
        <f t="shared" si="165"/>
        <v>0</v>
      </c>
      <c r="CV154" s="2712">
        <f t="shared" si="166"/>
        <v>0</v>
      </c>
      <c r="CX154" s="1937" t="s">
        <v>1708</v>
      </c>
      <c r="CY154" s="1941" t="s">
        <v>177</v>
      </c>
      <c r="CZ154" s="1938" t="s">
        <v>1285</v>
      </c>
      <c r="DA154" s="2935">
        <v>0</v>
      </c>
      <c r="DB154" s="2695"/>
      <c r="DC154" s="2695"/>
      <c r="DD154" s="2695"/>
      <c r="DE154" s="2695"/>
      <c r="DF154" s="2695"/>
      <c r="DG154" s="2695"/>
      <c r="DH154" s="2695"/>
      <c r="DI154" s="2695"/>
      <c r="DJ154" s="2695"/>
      <c r="DK154" s="2922"/>
      <c r="DL154" s="2908"/>
      <c r="DM154" s="2908"/>
    </row>
    <row r="155" spans="1:117">
      <c r="B155" s="1916" t="str">
        <f t="shared" si="180"/>
        <v>2.4</v>
      </c>
      <c r="C155" s="1938" t="str">
        <f t="shared" si="147"/>
        <v>躯体材料以外におけるリサイクル材の使用</v>
      </c>
      <c r="D155" s="1935" t="e">
        <f t="shared" si="181"/>
        <v>#DIV/0!</v>
      </c>
      <c r="E155" s="1936" t="e">
        <f t="shared" si="181"/>
        <v>#DIV/0!</v>
      </c>
      <c r="G155" s="1936" t="e">
        <f t="shared" si="168"/>
        <v>#DIV/0!</v>
      </c>
      <c r="H155" s="1936" t="e">
        <f t="shared" si="169"/>
        <v>#DIV/0!</v>
      </c>
      <c r="I155" s="1936"/>
      <c r="J155" s="1936"/>
      <c r="K155" s="1936">
        <f>IF(スコア!O155=0,0,1)</f>
        <v>1</v>
      </c>
      <c r="L155" s="1936">
        <f>IF(スコア!R155=0,0,1)</f>
        <v>0</v>
      </c>
      <c r="M155" s="1936" t="e">
        <f t="shared" si="170"/>
        <v>#DIV/0!</v>
      </c>
      <c r="N155" s="1936" t="e">
        <f t="shared" si="132"/>
        <v>#DIV/0!</v>
      </c>
      <c r="P155" s="1937" t="str">
        <f t="shared" si="149"/>
        <v>2.4</v>
      </c>
      <c r="Q155" s="1937" t="str">
        <f t="shared" si="150"/>
        <v>LR2 2</v>
      </c>
      <c r="R155" s="1938" t="str">
        <f t="shared" si="151"/>
        <v>躯体材料以外におけるリサイクル材の使用</v>
      </c>
      <c r="S155" s="2799">
        <f t="shared" si="133"/>
        <v>0.2</v>
      </c>
      <c r="T155" s="2799">
        <f t="shared" si="134"/>
        <v>0.2</v>
      </c>
      <c r="U155" s="2799">
        <f t="shared" si="135"/>
        <v>0.2</v>
      </c>
      <c r="V155" s="2799">
        <f t="shared" si="136"/>
        <v>0.2</v>
      </c>
      <c r="W155" s="2799">
        <f t="shared" si="137"/>
        <v>0.2</v>
      </c>
      <c r="X155" s="2799">
        <f t="shared" si="138"/>
        <v>0.2</v>
      </c>
      <c r="Y155" s="2799">
        <f t="shared" si="139"/>
        <v>0.2</v>
      </c>
      <c r="Z155" s="2801">
        <f t="shared" si="140"/>
        <v>0.2</v>
      </c>
      <c r="AA155" s="2799">
        <f t="shared" si="141"/>
        <v>0.2</v>
      </c>
      <c r="AB155" s="2799">
        <f t="shared" si="142"/>
        <v>0.2</v>
      </c>
      <c r="AC155" s="2820">
        <f t="shared" si="143"/>
        <v>0</v>
      </c>
      <c r="AD155" s="2804">
        <f t="shared" si="144"/>
        <v>0</v>
      </c>
      <c r="AE155" s="2804">
        <f t="shared" si="145"/>
        <v>0</v>
      </c>
      <c r="AG155" s="1937" t="s">
        <v>2791</v>
      </c>
      <c r="AH155" s="1941" t="s">
        <v>177</v>
      </c>
      <c r="AI155" s="1938" t="s">
        <v>1628</v>
      </c>
      <c r="AJ155" s="1944">
        <v>0.2</v>
      </c>
      <c r="AK155" s="1944">
        <v>0.2</v>
      </c>
      <c r="AL155" s="1944">
        <v>0.2</v>
      </c>
      <c r="AM155" s="1944">
        <v>0.2</v>
      </c>
      <c r="AN155" s="1944">
        <v>0.2</v>
      </c>
      <c r="AO155" s="1944">
        <v>0.2</v>
      </c>
      <c r="AP155" s="1944">
        <v>0.2</v>
      </c>
      <c r="AQ155" s="1944">
        <v>0.2</v>
      </c>
      <c r="AR155" s="1944">
        <v>0.2</v>
      </c>
      <c r="AS155" s="1944">
        <v>0.2</v>
      </c>
      <c r="AT155" s="2006"/>
      <c r="AU155" s="1957"/>
      <c r="AV155" s="1957"/>
      <c r="AX155" s="1937" t="s">
        <v>2792</v>
      </c>
      <c r="AY155" s="1941" t="s">
        <v>177</v>
      </c>
      <c r="AZ155" s="1938" t="s">
        <v>1628</v>
      </c>
      <c r="BA155" s="1944">
        <v>0.2</v>
      </c>
      <c r="BB155" s="1944">
        <v>0.2</v>
      </c>
      <c r="BC155" s="1944">
        <v>0.2</v>
      </c>
      <c r="BD155" s="1944">
        <v>0.2</v>
      </c>
      <c r="BE155" s="1944">
        <v>0.2</v>
      </c>
      <c r="BF155" s="1944">
        <v>0.2</v>
      </c>
      <c r="BG155" s="1944">
        <v>0.2</v>
      </c>
      <c r="BH155" s="1944">
        <v>0.2</v>
      </c>
      <c r="BI155" s="1944">
        <v>0.2</v>
      </c>
      <c r="BJ155" s="1944">
        <v>0.2</v>
      </c>
      <c r="BK155" s="2006"/>
      <c r="BL155" s="1957"/>
      <c r="BM155" s="1957"/>
      <c r="BO155" s="1937" t="s">
        <v>2792</v>
      </c>
      <c r="BP155" s="1941" t="s">
        <v>177</v>
      </c>
      <c r="BQ155" s="1938" t="s">
        <v>1628</v>
      </c>
      <c r="BR155" s="1944">
        <v>0.2</v>
      </c>
      <c r="BS155" s="1944">
        <v>0.2</v>
      </c>
      <c r="BT155" s="1944">
        <v>0.2</v>
      </c>
      <c r="BU155" s="1944">
        <v>0.2</v>
      </c>
      <c r="BV155" s="1944">
        <v>0.2</v>
      </c>
      <c r="BW155" s="1944">
        <v>0.2</v>
      </c>
      <c r="BX155" s="1944">
        <v>0.2</v>
      </c>
      <c r="BY155" s="1944">
        <v>0.2</v>
      </c>
      <c r="BZ155" s="1944">
        <v>0.2</v>
      </c>
      <c r="CA155" s="1944">
        <v>0.2</v>
      </c>
      <c r="CB155" s="2006"/>
      <c r="CC155" s="1957"/>
      <c r="CD155" s="1957"/>
      <c r="CE155" s="2266"/>
      <c r="CG155" s="1937" t="s">
        <v>2791</v>
      </c>
      <c r="CH155" s="1941" t="s">
        <v>177</v>
      </c>
      <c r="CI155" s="1938" t="s">
        <v>1628</v>
      </c>
      <c r="CJ155" s="2695">
        <v>0.04</v>
      </c>
      <c r="CK155" s="2695">
        <v>0.04</v>
      </c>
      <c r="CL155" s="2695">
        <v>0.04</v>
      </c>
      <c r="CM155" s="2695">
        <v>0.04</v>
      </c>
      <c r="CN155" s="2695">
        <v>0.04</v>
      </c>
      <c r="CO155" s="2695">
        <v>0.04</v>
      </c>
      <c r="CP155" s="2695">
        <v>0.04</v>
      </c>
      <c r="CQ155" s="2695">
        <v>0.04</v>
      </c>
      <c r="CR155" s="2695">
        <v>0.04</v>
      </c>
      <c r="CS155" s="2695">
        <v>0.04</v>
      </c>
      <c r="CT155" s="2731">
        <f t="shared" si="164"/>
        <v>0</v>
      </c>
      <c r="CU155" s="2712">
        <f t="shared" si="165"/>
        <v>0</v>
      </c>
      <c r="CV155" s="2712">
        <f t="shared" si="166"/>
        <v>0</v>
      </c>
      <c r="CX155" s="1937" t="s">
        <v>2791</v>
      </c>
      <c r="CY155" s="1941" t="s">
        <v>177</v>
      </c>
      <c r="CZ155" s="1938" t="s">
        <v>1628</v>
      </c>
      <c r="DA155" s="2695">
        <f t="shared" si="153"/>
        <v>0.2</v>
      </c>
      <c r="DB155" s="2695"/>
      <c r="DC155" s="2695"/>
      <c r="DD155" s="2695"/>
      <c r="DE155" s="2695"/>
      <c r="DF155" s="2695"/>
      <c r="DG155" s="2695"/>
      <c r="DH155" s="2695"/>
      <c r="DI155" s="2695"/>
      <c r="DJ155" s="2695"/>
      <c r="DK155" s="2922"/>
      <c r="DL155" s="2908"/>
      <c r="DM155" s="2908"/>
    </row>
    <row r="156" spans="1:117">
      <c r="B156" s="1916" t="str">
        <f t="shared" si="180"/>
        <v>2.5</v>
      </c>
      <c r="C156" s="1938" t="str">
        <f t="shared" si="147"/>
        <v>持続可能な森林から産出された木材</v>
      </c>
      <c r="D156" s="1935" t="e">
        <f t="shared" si="181"/>
        <v>#DIV/0!</v>
      </c>
      <c r="E156" s="1936" t="e">
        <f t="shared" si="181"/>
        <v>#DIV/0!</v>
      </c>
      <c r="G156" s="1936" t="e">
        <f t="shared" si="168"/>
        <v>#DIV/0!</v>
      </c>
      <c r="H156" s="1936" t="e">
        <f t="shared" si="169"/>
        <v>#DIV/0!</v>
      </c>
      <c r="I156" s="1936"/>
      <c r="J156" s="1936"/>
      <c r="K156" s="1936">
        <f>IF(スコア!O156=0,0,1)</f>
        <v>1</v>
      </c>
      <c r="L156" s="1936">
        <f>IF(スコア!R156=0,0,1)</f>
        <v>0</v>
      </c>
      <c r="M156" s="1936" t="e">
        <f t="shared" si="170"/>
        <v>#DIV/0!</v>
      </c>
      <c r="N156" s="1936" t="e">
        <f t="shared" si="132"/>
        <v>#DIV/0!</v>
      </c>
      <c r="P156" s="1937" t="str">
        <f t="shared" si="149"/>
        <v>2.5</v>
      </c>
      <c r="Q156" s="1937" t="str">
        <f t="shared" si="150"/>
        <v>LR2 2</v>
      </c>
      <c r="R156" s="1938" t="str">
        <f t="shared" si="151"/>
        <v>持続可能な森林から産出された木材</v>
      </c>
      <c r="S156" s="2799">
        <f t="shared" si="133"/>
        <v>0.1</v>
      </c>
      <c r="T156" s="2799">
        <f t="shared" si="134"/>
        <v>0.1</v>
      </c>
      <c r="U156" s="2799">
        <f t="shared" si="135"/>
        <v>0.1</v>
      </c>
      <c r="V156" s="2799">
        <f t="shared" si="136"/>
        <v>0.1</v>
      </c>
      <c r="W156" s="2799">
        <f t="shared" si="137"/>
        <v>0.1</v>
      </c>
      <c r="X156" s="2799">
        <f t="shared" si="138"/>
        <v>0.1</v>
      </c>
      <c r="Y156" s="2799">
        <f t="shared" si="139"/>
        <v>0.1</v>
      </c>
      <c r="Z156" s="2801">
        <f t="shared" si="140"/>
        <v>0.1</v>
      </c>
      <c r="AA156" s="2799">
        <f t="shared" si="141"/>
        <v>0.1</v>
      </c>
      <c r="AB156" s="2799">
        <f t="shared" si="142"/>
        <v>0.1</v>
      </c>
      <c r="AC156" s="2820">
        <f t="shared" si="143"/>
        <v>0</v>
      </c>
      <c r="AD156" s="2804">
        <f t="shared" si="144"/>
        <v>0</v>
      </c>
      <c r="AE156" s="2804">
        <f t="shared" si="145"/>
        <v>0</v>
      </c>
      <c r="AG156" s="1937" t="s">
        <v>2793</v>
      </c>
      <c r="AH156" s="1941" t="s">
        <v>177</v>
      </c>
      <c r="AI156" s="1942" t="s">
        <v>2794</v>
      </c>
      <c r="AJ156" s="1944">
        <v>0.1</v>
      </c>
      <c r="AK156" s="1944">
        <v>0.1</v>
      </c>
      <c r="AL156" s="1944">
        <v>0.1</v>
      </c>
      <c r="AM156" s="1944">
        <v>0.1</v>
      </c>
      <c r="AN156" s="1944">
        <v>0.1</v>
      </c>
      <c r="AO156" s="1944">
        <v>0.1</v>
      </c>
      <c r="AP156" s="1944">
        <v>0.1</v>
      </c>
      <c r="AQ156" s="1944">
        <v>0.1</v>
      </c>
      <c r="AR156" s="1944">
        <v>0.1</v>
      </c>
      <c r="AS156" s="1944">
        <v>0.1</v>
      </c>
      <c r="AT156" s="2006"/>
      <c r="AU156" s="1957"/>
      <c r="AV156" s="1957"/>
      <c r="AX156" s="1937" t="s">
        <v>2793</v>
      </c>
      <c r="AY156" s="1941" t="s">
        <v>177</v>
      </c>
      <c r="AZ156" s="1942" t="s">
        <v>2794</v>
      </c>
      <c r="BA156" s="1944">
        <v>0.1</v>
      </c>
      <c r="BB156" s="1944">
        <v>0.1</v>
      </c>
      <c r="BC156" s="1944">
        <v>0.1</v>
      </c>
      <c r="BD156" s="1944">
        <v>0.1</v>
      </c>
      <c r="BE156" s="1944">
        <v>0.1</v>
      </c>
      <c r="BF156" s="1944">
        <v>0.1</v>
      </c>
      <c r="BG156" s="1944">
        <v>0.1</v>
      </c>
      <c r="BH156" s="1944">
        <v>0.1</v>
      </c>
      <c r="BI156" s="1944">
        <v>0.1</v>
      </c>
      <c r="BJ156" s="1944">
        <v>0.1</v>
      </c>
      <c r="BK156" s="2006"/>
      <c r="BL156" s="1957"/>
      <c r="BM156" s="1957"/>
      <c r="BO156" s="1937" t="s">
        <v>2793</v>
      </c>
      <c r="BP156" s="1941" t="s">
        <v>177</v>
      </c>
      <c r="BQ156" s="1942" t="s">
        <v>2794</v>
      </c>
      <c r="BR156" s="1944">
        <v>0.1</v>
      </c>
      <c r="BS156" s="1944">
        <v>0.1</v>
      </c>
      <c r="BT156" s="1944">
        <v>0.1</v>
      </c>
      <c r="BU156" s="1944">
        <v>0.1</v>
      </c>
      <c r="BV156" s="1944">
        <v>0.1</v>
      </c>
      <c r="BW156" s="1944">
        <v>0.1</v>
      </c>
      <c r="BX156" s="1944">
        <v>0.1</v>
      </c>
      <c r="BY156" s="1944">
        <v>0.1</v>
      </c>
      <c r="BZ156" s="1944">
        <v>0.1</v>
      </c>
      <c r="CA156" s="1944">
        <v>0.1</v>
      </c>
      <c r="CB156" s="2006"/>
      <c r="CC156" s="1957"/>
      <c r="CD156" s="1957"/>
      <c r="CE156" s="2266"/>
      <c r="CG156" s="1937" t="s">
        <v>2793</v>
      </c>
      <c r="CH156" s="1941" t="s">
        <v>177</v>
      </c>
      <c r="CI156" s="1942" t="s">
        <v>2794</v>
      </c>
      <c r="CJ156" s="2695">
        <v>0.04</v>
      </c>
      <c r="CK156" s="2695">
        <v>0.04</v>
      </c>
      <c r="CL156" s="2695">
        <v>0.04</v>
      </c>
      <c r="CM156" s="2695">
        <v>0.04</v>
      </c>
      <c r="CN156" s="2695">
        <v>0.04</v>
      </c>
      <c r="CO156" s="2695">
        <v>0.04</v>
      </c>
      <c r="CP156" s="2695">
        <v>0.04</v>
      </c>
      <c r="CQ156" s="2695">
        <v>0.04</v>
      </c>
      <c r="CR156" s="2695">
        <v>0.04</v>
      </c>
      <c r="CS156" s="2695">
        <v>0.04</v>
      </c>
      <c r="CT156" s="2731">
        <f t="shared" si="164"/>
        <v>0</v>
      </c>
      <c r="CU156" s="2712">
        <f t="shared" si="165"/>
        <v>0</v>
      </c>
      <c r="CV156" s="2712">
        <f t="shared" si="166"/>
        <v>0</v>
      </c>
      <c r="CX156" s="1937" t="s">
        <v>2793</v>
      </c>
      <c r="CY156" s="1941" t="s">
        <v>177</v>
      </c>
      <c r="CZ156" s="1942" t="s">
        <v>2794</v>
      </c>
      <c r="DA156" s="2924">
        <v>0.4</v>
      </c>
      <c r="DB156" s="2695"/>
      <c r="DC156" s="2695"/>
      <c r="DD156" s="2695"/>
      <c r="DE156" s="2695"/>
      <c r="DF156" s="2695"/>
      <c r="DG156" s="2695"/>
      <c r="DH156" s="2695"/>
      <c r="DI156" s="2695"/>
      <c r="DJ156" s="2695"/>
      <c r="DK156" s="2922"/>
      <c r="DL156" s="2908"/>
      <c r="DM156" s="2908"/>
    </row>
    <row r="157" spans="1:117">
      <c r="B157" s="1916" t="str">
        <f t="shared" si="180"/>
        <v>2.6</v>
      </c>
      <c r="C157" s="1938" t="str">
        <f t="shared" si="147"/>
        <v>部材の再利用可能性向上への取組み</v>
      </c>
      <c r="D157" s="1935" t="e">
        <f>IF(I$151=0,0,G157/I$151)</f>
        <v>#DIV/0!</v>
      </c>
      <c r="E157" s="1936" t="e">
        <f>IF(J$151=0,0,H157/J$151)</f>
        <v>#DIV/0!</v>
      </c>
      <c r="G157" s="1936" t="e">
        <f t="shared" si="168"/>
        <v>#DIV/0!</v>
      </c>
      <c r="H157" s="1936" t="e">
        <f t="shared" si="169"/>
        <v>#DIV/0!</v>
      </c>
      <c r="I157" s="1936"/>
      <c r="J157" s="1936"/>
      <c r="K157" s="1936" t="e">
        <f>IF(スコア!O157=0,0,1)</f>
        <v>#DIV/0!</v>
      </c>
      <c r="L157" s="1936">
        <f>IF(スコア!R157=0,0,1)</f>
        <v>0</v>
      </c>
      <c r="M157" s="1936" t="e">
        <f t="shared" si="170"/>
        <v>#DIV/0!</v>
      </c>
      <c r="N157" s="1936" t="e">
        <f t="shared" ref="N157:N194" si="182">(AC$7*AC157)+(AD$7*AD157)+(AE$7*AE157)</f>
        <v>#DIV/0!</v>
      </c>
      <c r="P157" s="1937" t="str">
        <f t="shared" si="149"/>
        <v>2.6</v>
      </c>
      <c r="Q157" s="1937" t="str">
        <f t="shared" si="150"/>
        <v>LR2 2</v>
      </c>
      <c r="R157" s="1938" t="str">
        <f t="shared" si="151"/>
        <v>部材の再利用可能性向上への取組み</v>
      </c>
      <c r="S157" s="2799">
        <f t="shared" si="133"/>
        <v>0.2</v>
      </c>
      <c r="T157" s="2799">
        <f t="shared" si="134"/>
        <v>0.2</v>
      </c>
      <c r="U157" s="2799">
        <f t="shared" si="135"/>
        <v>0.2</v>
      </c>
      <c r="V157" s="2799">
        <f t="shared" si="136"/>
        <v>0.2</v>
      </c>
      <c r="W157" s="2799">
        <f t="shared" si="137"/>
        <v>0.2</v>
      </c>
      <c r="X157" s="2799">
        <f t="shared" si="138"/>
        <v>0.2</v>
      </c>
      <c r="Y157" s="2799">
        <f t="shared" si="139"/>
        <v>0.2</v>
      </c>
      <c r="Z157" s="2801">
        <f t="shared" si="140"/>
        <v>0.2</v>
      </c>
      <c r="AA157" s="2799">
        <f t="shared" si="141"/>
        <v>0.2</v>
      </c>
      <c r="AB157" s="2799">
        <f t="shared" si="142"/>
        <v>0.2</v>
      </c>
      <c r="AC157" s="2820">
        <f t="shared" si="143"/>
        <v>0</v>
      </c>
      <c r="AD157" s="2804">
        <f t="shared" si="144"/>
        <v>0</v>
      </c>
      <c r="AE157" s="2804">
        <f t="shared" si="145"/>
        <v>0</v>
      </c>
      <c r="AG157" s="1937" t="s">
        <v>2795</v>
      </c>
      <c r="AH157" s="1941" t="s">
        <v>177</v>
      </c>
      <c r="AI157" s="1938" t="s">
        <v>1287</v>
      </c>
      <c r="AJ157" s="1944">
        <v>0.2</v>
      </c>
      <c r="AK157" s="1944">
        <v>0.2</v>
      </c>
      <c r="AL157" s="1944">
        <v>0.2</v>
      </c>
      <c r="AM157" s="1944">
        <v>0.2</v>
      </c>
      <c r="AN157" s="1944">
        <v>0.2</v>
      </c>
      <c r="AO157" s="1944">
        <v>0.2</v>
      </c>
      <c r="AP157" s="1944">
        <v>0.2</v>
      </c>
      <c r="AQ157" s="1944">
        <v>0.2</v>
      </c>
      <c r="AR157" s="1944">
        <v>0.2</v>
      </c>
      <c r="AS157" s="1944">
        <v>0.2</v>
      </c>
      <c r="AT157" s="2006"/>
      <c r="AU157" s="1957"/>
      <c r="AV157" s="1957"/>
      <c r="AX157" s="1937" t="s">
        <v>1425</v>
      </c>
      <c r="AY157" s="1941" t="s">
        <v>177</v>
      </c>
      <c r="AZ157" s="1938" t="s">
        <v>1287</v>
      </c>
      <c r="BA157" s="1944">
        <v>0.2</v>
      </c>
      <c r="BB157" s="1944">
        <v>0.2</v>
      </c>
      <c r="BC157" s="1944">
        <v>0.2</v>
      </c>
      <c r="BD157" s="1944">
        <v>0.2</v>
      </c>
      <c r="BE157" s="1944">
        <v>0.2</v>
      </c>
      <c r="BF157" s="1944">
        <v>0.2</v>
      </c>
      <c r="BG157" s="1944">
        <v>0.2</v>
      </c>
      <c r="BH157" s="1944">
        <v>0.2</v>
      </c>
      <c r="BI157" s="1944">
        <v>0.2</v>
      </c>
      <c r="BJ157" s="1944">
        <v>0.2</v>
      </c>
      <c r="BK157" s="2006"/>
      <c r="BL157" s="1957"/>
      <c r="BM157" s="1957"/>
      <c r="BO157" s="1937" t="s">
        <v>1425</v>
      </c>
      <c r="BP157" s="1941" t="s">
        <v>177</v>
      </c>
      <c r="BQ157" s="1938" t="s">
        <v>1287</v>
      </c>
      <c r="BR157" s="1944">
        <v>0.2</v>
      </c>
      <c r="BS157" s="1944">
        <v>0.2</v>
      </c>
      <c r="BT157" s="1944">
        <v>0.2</v>
      </c>
      <c r="BU157" s="1944">
        <v>0.2</v>
      </c>
      <c r="BV157" s="1944">
        <v>0.2</v>
      </c>
      <c r="BW157" s="1944">
        <v>0.2</v>
      </c>
      <c r="BX157" s="1944">
        <v>0.2</v>
      </c>
      <c r="BY157" s="1944">
        <v>0.2</v>
      </c>
      <c r="BZ157" s="1944">
        <v>0.2</v>
      </c>
      <c r="CA157" s="1944">
        <v>0.2</v>
      </c>
      <c r="CB157" s="2006"/>
      <c r="CC157" s="1957"/>
      <c r="CD157" s="1957"/>
      <c r="CE157" s="2266"/>
      <c r="CG157" s="1937" t="s">
        <v>1425</v>
      </c>
      <c r="CH157" s="1941" t="s">
        <v>177</v>
      </c>
      <c r="CI157" s="1938"/>
      <c r="CJ157" s="2695">
        <v>0</v>
      </c>
      <c r="CK157" s="2695">
        <v>0</v>
      </c>
      <c r="CL157" s="2695">
        <v>0</v>
      </c>
      <c r="CM157" s="2695">
        <v>0</v>
      </c>
      <c r="CN157" s="2695">
        <v>0</v>
      </c>
      <c r="CO157" s="2695">
        <v>0</v>
      </c>
      <c r="CP157" s="2695">
        <v>0</v>
      </c>
      <c r="CQ157" s="2695">
        <v>0</v>
      </c>
      <c r="CR157" s="2695">
        <v>0</v>
      </c>
      <c r="CS157" s="2695">
        <v>0</v>
      </c>
      <c r="CT157" s="2731">
        <f t="shared" si="164"/>
        <v>0</v>
      </c>
      <c r="CU157" s="2712">
        <f t="shared" si="165"/>
        <v>0</v>
      </c>
      <c r="CV157" s="2712">
        <f t="shared" si="166"/>
        <v>0</v>
      </c>
      <c r="CX157" s="1937" t="s">
        <v>1425</v>
      </c>
      <c r="CY157" s="1941" t="s">
        <v>177</v>
      </c>
      <c r="CZ157" s="1938" t="s">
        <v>1287</v>
      </c>
      <c r="DA157" s="2924">
        <v>0.4</v>
      </c>
      <c r="DB157" s="2695"/>
      <c r="DC157" s="2695"/>
      <c r="DD157" s="2695"/>
      <c r="DE157" s="2695"/>
      <c r="DF157" s="2695"/>
      <c r="DG157" s="2695"/>
      <c r="DH157" s="2695"/>
      <c r="DI157" s="2695"/>
      <c r="DJ157" s="2695"/>
      <c r="DK157" s="2922"/>
      <c r="DL157" s="2908"/>
      <c r="DM157" s="2908"/>
    </row>
    <row r="158" spans="1:117" hidden="1">
      <c r="A158" s="2687"/>
      <c r="B158" s="1916" t="str">
        <f t="shared" si="180"/>
        <v>2.6</v>
      </c>
      <c r="C158" s="1938">
        <f t="shared" si="147"/>
        <v>0</v>
      </c>
      <c r="D158" s="1935" t="e">
        <f>IF(I$151=0,0,G158/I$151)</f>
        <v>#DIV/0!</v>
      </c>
      <c r="E158" s="1935" t="e">
        <f>IF(J$151=0,0,H158/J$151)</f>
        <v>#DIV/0!</v>
      </c>
      <c r="F158" s="2687"/>
      <c r="G158" s="1936" t="e">
        <f>K158*M158</f>
        <v>#DIV/0!</v>
      </c>
      <c r="H158" s="1936" t="e">
        <f t="shared" ref="H158" si="183">L158*N158</f>
        <v>#DIV/0!</v>
      </c>
      <c r="I158" s="1936" t="e">
        <f>SUM(G159:G164)</f>
        <v>#DIV/0!</v>
      </c>
      <c r="J158" s="1936" t="e">
        <f>SUM(H159:H164)</f>
        <v>#DIV/0!</v>
      </c>
      <c r="K158" s="1936" t="e">
        <f>IF(スコア!O158=0,0,1)</f>
        <v>#DIV/0!</v>
      </c>
      <c r="L158" s="1936" t="e">
        <f>IF(スコア!R158=0,0,1)</f>
        <v>#DIV/0!</v>
      </c>
      <c r="M158" s="1936" t="e">
        <f>SUMPRODUCT($S$7:$AB$7,S158:AB158)</f>
        <v>#DIV/0!</v>
      </c>
      <c r="N158" s="1936" t="e">
        <f>(AC$7*AC158)+(AD$7*AD158)+(AE$7*AE158)</f>
        <v>#DIV/0!</v>
      </c>
      <c r="O158" s="2687"/>
      <c r="P158" s="1937" t="str">
        <f t="shared" si="149"/>
        <v>2.6</v>
      </c>
      <c r="Q158" s="1937" t="str">
        <f t="shared" si="150"/>
        <v>LR2 2</v>
      </c>
      <c r="R158" s="1938">
        <f t="shared" si="151"/>
        <v>0</v>
      </c>
      <c r="S158" s="2799">
        <f t="shared" si="133"/>
        <v>0</v>
      </c>
      <c r="T158" s="2799">
        <f t="shared" si="134"/>
        <v>0</v>
      </c>
      <c r="U158" s="2799">
        <f t="shared" si="135"/>
        <v>0</v>
      </c>
      <c r="V158" s="2799">
        <f t="shared" si="136"/>
        <v>0</v>
      </c>
      <c r="W158" s="2799">
        <f t="shared" si="137"/>
        <v>0</v>
      </c>
      <c r="X158" s="2799">
        <f t="shared" si="138"/>
        <v>0</v>
      </c>
      <c r="Y158" s="2799">
        <f t="shared" si="139"/>
        <v>0</v>
      </c>
      <c r="Z158" s="2801">
        <f t="shared" si="140"/>
        <v>0</v>
      </c>
      <c r="AA158" s="2799">
        <f t="shared" si="141"/>
        <v>0</v>
      </c>
      <c r="AB158" s="2799">
        <f t="shared" si="142"/>
        <v>0</v>
      </c>
      <c r="AC158" s="2820">
        <f t="shared" si="143"/>
        <v>0</v>
      </c>
      <c r="AD158" s="2804">
        <f t="shared" si="144"/>
        <v>0</v>
      </c>
      <c r="AE158" s="2804">
        <f t="shared" si="145"/>
        <v>0</v>
      </c>
      <c r="AF158" s="2687"/>
      <c r="AG158" s="1937"/>
      <c r="AH158" s="1941"/>
      <c r="AI158" s="1938"/>
      <c r="AJ158" s="1944"/>
      <c r="AK158" s="1944"/>
      <c r="AL158" s="1944"/>
      <c r="AM158" s="1944"/>
      <c r="AN158" s="1944"/>
      <c r="AO158" s="1944"/>
      <c r="AP158" s="1944"/>
      <c r="AQ158" s="1944"/>
      <c r="AR158" s="1944"/>
      <c r="AS158" s="1944"/>
      <c r="AT158" s="2006"/>
      <c r="AU158" s="1957"/>
      <c r="AV158" s="1957"/>
      <c r="AW158" s="2687"/>
      <c r="AX158" s="1937"/>
      <c r="AY158" s="1941"/>
      <c r="AZ158" s="1938"/>
      <c r="BA158" s="1944"/>
      <c r="BB158" s="1944"/>
      <c r="BC158" s="1944"/>
      <c r="BD158" s="1944"/>
      <c r="BE158" s="1944"/>
      <c r="BF158" s="1944"/>
      <c r="BG158" s="1944"/>
      <c r="BH158" s="1944"/>
      <c r="BI158" s="1944"/>
      <c r="BJ158" s="1944"/>
      <c r="BK158" s="2006"/>
      <c r="BL158" s="1957"/>
      <c r="BM158" s="1957"/>
      <c r="BN158" s="2687"/>
      <c r="BO158" s="1937" t="s">
        <v>1425</v>
      </c>
      <c r="BP158" s="1941" t="s">
        <v>177</v>
      </c>
      <c r="BQ158" s="1938"/>
      <c r="BR158" s="1944"/>
      <c r="BS158" s="1944"/>
      <c r="BT158" s="1944"/>
      <c r="BU158" s="1944"/>
      <c r="BV158" s="1944"/>
      <c r="BW158" s="1944"/>
      <c r="BX158" s="1944"/>
      <c r="BY158" s="1944"/>
      <c r="BZ158" s="1944"/>
      <c r="CA158" s="1944"/>
      <c r="CB158" s="2006"/>
      <c r="CC158" s="1957"/>
      <c r="CD158" s="1957"/>
      <c r="CE158" s="2266"/>
      <c r="CF158" s="2687"/>
      <c r="CG158" s="1937" t="s">
        <v>1425</v>
      </c>
      <c r="CH158" s="1941" t="s">
        <v>177</v>
      </c>
      <c r="CI158" s="1938" t="s">
        <v>3291</v>
      </c>
      <c r="CJ158" s="2695">
        <v>0.65</v>
      </c>
      <c r="CK158" s="2695">
        <v>0.65</v>
      </c>
      <c r="CL158" s="2695">
        <v>0.65</v>
      </c>
      <c r="CM158" s="2695">
        <v>0.65</v>
      </c>
      <c r="CN158" s="2695">
        <v>0.65</v>
      </c>
      <c r="CO158" s="2695">
        <v>0.65</v>
      </c>
      <c r="CP158" s="2695">
        <v>0.65</v>
      </c>
      <c r="CQ158" s="2695">
        <v>0.65</v>
      </c>
      <c r="CR158" s="2695">
        <v>0.65</v>
      </c>
      <c r="CS158" s="2695">
        <v>0.65</v>
      </c>
      <c r="CT158" s="2731">
        <f t="shared" si="164"/>
        <v>0</v>
      </c>
      <c r="CU158" s="2712">
        <f t="shared" si="165"/>
        <v>0</v>
      </c>
      <c r="CV158" s="2712">
        <f t="shared" si="166"/>
        <v>0</v>
      </c>
      <c r="CX158" s="1937" t="s">
        <v>1425</v>
      </c>
      <c r="CY158" s="1941" t="s">
        <v>177</v>
      </c>
      <c r="CZ158" s="1938"/>
      <c r="DA158" s="2695">
        <f t="shared" si="153"/>
        <v>0</v>
      </c>
      <c r="DB158" s="2695"/>
      <c r="DC158" s="2695"/>
      <c r="DD158" s="2695"/>
      <c r="DE158" s="2695"/>
      <c r="DF158" s="2695"/>
      <c r="DG158" s="2695"/>
      <c r="DH158" s="2695"/>
      <c r="DI158" s="2695"/>
      <c r="DJ158" s="2695"/>
      <c r="DK158" s="2922"/>
      <c r="DL158" s="2908"/>
      <c r="DM158" s="2908"/>
    </row>
    <row r="159" spans="1:117" hidden="1">
      <c r="A159" s="2687"/>
      <c r="B159" s="1916" t="s">
        <v>3282</v>
      </c>
      <c r="C159" s="1938">
        <f t="shared" si="147"/>
        <v>0</v>
      </c>
      <c r="D159" s="1926" t="e">
        <f>IF(I$158&gt;0,G159/I$158,0)</f>
        <v>#DIV/0!</v>
      </c>
      <c r="E159" s="1926" t="e">
        <f>IF(J$158&gt;0,H159/J$158,0)</f>
        <v>#DIV/0!</v>
      </c>
      <c r="F159" s="2687"/>
      <c r="G159" s="1936" t="e">
        <f t="shared" ref="G159:G165" si="184">K159*M159</f>
        <v>#DIV/0!</v>
      </c>
      <c r="H159" s="1936" t="e">
        <f t="shared" ref="H159:H164" si="185">L159*N159</f>
        <v>#DIV/0!</v>
      </c>
      <c r="I159" s="1936"/>
      <c r="J159" s="1936"/>
      <c r="K159" s="1936">
        <f>IF(スコア!O159=0,0,1)</f>
        <v>1</v>
      </c>
      <c r="L159" s="1936">
        <f>IF(スコア!R159=0,0,1)</f>
        <v>0</v>
      </c>
      <c r="M159" s="1936" t="e">
        <f t="shared" ref="M159:M165" si="186">SUMPRODUCT($S$7:$AB$7,S159:AB159)</f>
        <v>#DIV/0!</v>
      </c>
      <c r="N159" s="1936" t="e">
        <f t="shared" ref="N159:N165" si="187">(AC$7*AC159)+(AD$7*AD159)+(AE$7*AE159)</f>
        <v>#DIV/0!</v>
      </c>
      <c r="O159" s="2687"/>
      <c r="P159" s="1937" t="str">
        <f t="shared" si="149"/>
        <v>2.6.1</v>
      </c>
      <c r="Q159" s="1937" t="str">
        <f t="shared" si="150"/>
        <v>LR2 2.2</v>
      </c>
      <c r="R159" s="1938">
        <f t="shared" si="151"/>
        <v>0</v>
      </c>
      <c r="S159" s="2799">
        <f t="shared" si="133"/>
        <v>0</v>
      </c>
      <c r="T159" s="2799">
        <f t="shared" si="134"/>
        <v>0</v>
      </c>
      <c r="U159" s="2799">
        <f t="shared" si="135"/>
        <v>0</v>
      </c>
      <c r="V159" s="2799">
        <f t="shared" si="136"/>
        <v>0</v>
      </c>
      <c r="W159" s="2799">
        <f t="shared" si="137"/>
        <v>0</v>
      </c>
      <c r="X159" s="2799">
        <f t="shared" si="138"/>
        <v>0</v>
      </c>
      <c r="Y159" s="2799">
        <f t="shared" si="139"/>
        <v>0</v>
      </c>
      <c r="Z159" s="2801">
        <f t="shared" si="140"/>
        <v>0</v>
      </c>
      <c r="AA159" s="2799">
        <f t="shared" si="141"/>
        <v>0</v>
      </c>
      <c r="AB159" s="2799">
        <f t="shared" si="142"/>
        <v>0</v>
      </c>
      <c r="AC159" s="2820">
        <f t="shared" si="143"/>
        <v>0</v>
      </c>
      <c r="AD159" s="2804">
        <f t="shared" si="144"/>
        <v>0</v>
      </c>
      <c r="AE159" s="2804">
        <f t="shared" si="145"/>
        <v>0</v>
      </c>
      <c r="AF159" s="2687"/>
      <c r="AG159" s="1937"/>
      <c r="AH159" s="1941"/>
      <c r="AI159" s="1938"/>
      <c r="AJ159" s="1944"/>
      <c r="AK159" s="1944"/>
      <c r="AL159" s="1944"/>
      <c r="AM159" s="1944"/>
      <c r="AN159" s="1944"/>
      <c r="AO159" s="1944"/>
      <c r="AP159" s="1944"/>
      <c r="AQ159" s="1944"/>
      <c r="AR159" s="1944"/>
      <c r="AS159" s="1944"/>
      <c r="AT159" s="2006"/>
      <c r="AU159" s="1957"/>
      <c r="AV159" s="1957"/>
      <c r="AW159" s="2687"/>
      <c r="AX159" s="1937"/>
      <c r="AY159" s="1941"/>
      <c r="AZ159" s="1938"/>
      <c r="BA159" s="1944"/>
      <c r="BB159" s="1944"/>
      <c r="BC159" s="1944"/>
      <c r="BD159" s="1944"/>
      <c r="BE159" s="1944"/>
      <c r="BF159" s="1944"/>
      <c r="BG159" s="1944"/>
      <c r="BH159" s="1944"/>
      <c r="BI159" s="1944"/>
      <c r="BJ159" s="1944"/>
      <c r="BK159" s="2006"/>
      <c r="BL159" s="1957"/>
      <c r="BM159" s="1957"/>
      <c r="BN159" s="2687"/>
      <c r="BO159" s="1937" t="s">
        <v>3292</v>
      </c>
      <c r="BP159" s="1941" t="s">
        <v>3293</v>
      </c>
      <c r="BQ159" s="1938"/>
      <c r="BR159" s="1944"/>
      <c r="BS159" s="1944"/>
      <c r="BT159" s="1944"/>
      <c r="BU159" s="1944"/>
      <c r="BV159" s="1944"/>
      <c r="BW159" s="1944"/>
      <c r="BX159" s="1944"/>
      <c r="BY159" s="1944"/>
      <c r="BZ159" s="1944"/>
      <c r="CA159" s="1944"/>
      <c r="CB159" s="2006"/>
      <c r="CC159" s="1957"/>
      <c r="CD159" s="1957"/>
      <c r="CE159" s="2266"/>
      <c r="CF159" s="2687"/>
      <c r="CG159" s="1937" t="s">
        <v>3292</v>
      </c>
      <c r="CH159" s="1941" t="s">
        <v>3293</v>
      </c>
      <c r="CI159" s="1938" t="s">
        <v>3295</v>
      </c>
      <c r="CJ159" s="2695">
        <v>0.25</v>
      </c>
      <c r="CK159" s="2695">
        <v>0.25</v>
      </c>
      <c r="CL159" s="2695">
        <v>0.25</v>
      </c>
      <c r="CM159" s="2695">
        <v>0.25</v>
      </c>
      <c r="CN159" s="2695">
        <v>0.25</v>
      </c>
      <c r="CO159" s="2695">
        <v>0.25</v>
      </c>
      <c r="CP159" s="2695">
        <v>0.25</v>
      </c>
      <c r="CQ159" s="2695">
        <v>0.25</v>
      </c>
      <c r="CR159" s="2695">
        <v>0.25</v>
      </c>
      <c r="CS159" s="2695">
        <v>0.25</v>
      </c>
      <c r="CT159" s="2731">
        <f t="shared" si="164"/>
        <v>0</v>
      </c>
      <c r="CU159" s="2712">
        <f t="shared" si="165"/>
        <v>0</v>
      </c>
      <c r="CV159" s="2712">
        <f t="shared" si="166"/>
        <v>0</v>
      </c>
      <c r="CX159" s="1937" t="s">
        <v>3292</v>
      </c>
      <c r="CY159" s="1941" t="s">
        <v>3293</v>
      </c>
      <c r="CZ159" s="1938"/>
      <c r="DA159" s="2695">
        <f t="shared" si="153"/>
        <v>0</v>
      </c>
      <c r="DB159" s="2695"/>
      <c r="DC159" s="2695"/>
      <c r="DD159" s="2695"/>
      <c r="DE159" s="2695"/>
      <c r="DF159" s="2695"/>
      <c r="DG159" s="2695"/>
      <c r="DH159" s="2695"/>
      <c r="DI159" s="2695"/>
      <c r="DJ159" s="2695"/>
      <c r="DK159" s="2922"/>
      <c r="DL159" s="2908"/>
      <c r="DM159" s="2908"/>
    </row>
    <row r="160" spans="1:117" hidden="1">
      <c r="A160" s="2687"/>
      <c r="B160" s="1916" t="s">
        <v>3283</v>
      </c>
      <c r="C160" s="1938">
        <f t="shared" si="147"/>
        <v>0</v>
      </c>
      <c r="D160" s="1926" t="e">
        <f t="shared" ref="D160:E163" si="188">IF(I$158&gt;0,G160/I$158,0)</f>
        <v>#DIV/0!</v>
      </c>
      <c r="E160" s="1926" t="e">
        <f>IF(J$158&gt;0,H160/J$158,0)</f>
        <v>#DIV/0!</v>
      </c>
      <c r="F160" s="2687"/>
      <c r="G160" s="1936" t="e">
        <f t="shared" si="184"/>
        <v>#DIV/0!</v>
      </c>
      <c r="H160" s="1936" t="e">
        <f t="shared" si="185"/>
        <v>#DIV/0!</v>
      </c>
      <c r="I160" s="1936"/>
      <c r="J160" s="1936"/>
      <c r="K160" s="1936">
        <f>IF(スコア!O160=0,0,1)</f>
        <v>1</v>
      </c>
      <c r="L160" s="1936">
        <f>IF(スコア!R160=0,0,1)</f>
        <v>0</v>
      </c>
      <c r="M160" s="1936" t="e">
        <f t="shared" si="186"/>
        <v>#DIV/0!</v>
      </c>
      <c r="N160" s="1936" t="e">
        <f t="shared" si="187"/>
        <v>#DIV/0!</v>
      </c>
      <c r="O160" s="2687"/>
      <c r="P160" s="1937" t="str">
        <f t="shared" si="149"/>
        <v>2.6.2</v>
      </c>
      <c r="Q160" s="1937" t="str">
        <f t="shared" si="150"/>
        <v>LR2 2.2</v>
      </c>
      <c r="R160" s="1938">
        <f t="shared" si="151"/>
        <v>0</v>
      </c>
      <c r="S160" s="2799">
        <f t="shared" si="133"/>
        <v>0</v>
      </c>
      <c r="T160" s="2799">
        <f t="shared" si="134"/>
        <v>0</v>
      </c>
      <c r="U160" s="2799">
        <f t="shared" si="135"/>
        <v>0</v>
      </c>
      <c r="V160" s="2799">
        <f t="shared" si="136"/>
        <v>0</v>
      </c>
      <c r="W160" s="2799">
        <f t="shared" si="137"/>
        <v>0</v>
      </c>
      <c r="X160" s="2799">
        <f t="shared" si="138"/>
        <v>0</v>
      </c>
      <c r="Y160" s="2799">
        <f t="shared" si="139"/>
        <v>0</v>
      </c>
      <c r="Z160" s="2801">
        <f t="shared" si="140"/>
        <v>0</v>
      </c>
      <c r="AA160" s="2799">
        <f t="shared" si="141"/>
        <v>0</v>
      </c>
      <c r="AB160" s="2799">
        <f t="shared" si="142"/>
        <v>0</v>
      </c>
      <c r="AC160" s="2820">
        <f t="shared" si="143"/>
        <v>0</v>
      </c>
      <c r="AD160" s="2804">
        <f t="shared" si="144"/>
        <v>0</v>
      </c>
      <c r="AE160" s="2804">
        <f t="shared" si="145"/>
        <v>0</v>
      </c>
      <c r="AF160" s="2687"/>
      <c r="AG160" s="1937"/>
      <c r="AH160" s="1941"/>
      <c r="AI160" s="1938"/>
      <c r="AJ160" s="1944"/>
      <c r="AK160" s="1944"/>
      <c r="AL160" s="1944"/>
      <c r="AM160" s="1944"/>
      <c r="AN160" s="1944"/>
      <c r="AO160" s="1944"/>
      <c r="AP160" s="1944"/>
      <c r="AQ160" s="1944"/>
      <c r="AR160" s="1944"/>
      <c r="AS160" s="1944"/>
      <c r="AT160" s="2006"/>
      <c r="AU160" s="1957"/>
      <c r="AV160" s="1957"/>
      <c r="AW160" s="2687"/>
      <c r="AX160" s="1937"/>
      <c r="AY160" s="1941"/>
      <c r="AZ160" s="1938"/>
      <c r="BA160" s="1944"/>
      <c r="BB160" s="1944"/>
      <c r="BC160" s="1944"/>
      <c r="BD160" s="1944"/>
      <c r="BE160" s="1944"/>
      <c r="BF160" s="1944"/>
      <c r="BG160" s="1944"/>
      <c r="BH160" s="1944"/>
      <c r="BI160" s="1944"/>
      <c r="BJ160" s="1944"/>
      <c r="BK160" s="2006"/>
      <c r="BL160" s="1957"/>
      <c r="BM160" s="1957"/>
      <c r="BN160" s="2687"/>
      <c r="BO160" s="1937" t="s">
        <v>3283</v>
      </c>
      <c r="BP160" s="1941" t="s">
        <v>3293</v>
      </c>
      <c r="BQ160" s="1938"/>
      <c r="BR160" s="1944"/>
      <c r="BS160" s="1944"/>
      <c r="BT160" s="1944"/>
      <c r="BU160" s="1944"/>
      <c r="BV160" s="1944"/>
      <c r="BW160" s="1944"/>
      <c r="BX160" s="1944"/>
      <c r="BY160" s="1944"/>
      <c r="BZ160" s="1944"/>
      <c r="CA160" s="1944"/>
      <c r="CB160" s="2006"/>
      <c r="CC160" s="1957"/>
      <c r="CD160" s="1957"/>
      <c r="CE160" s="2266"/>
      <c r="CF160" s="2687"/>
      <c r="CG160" s="1937" t="s">
        <v>3283</v>
      </c>
      <c r="CH160" s="1941" t="s">
        <v>3293</v>
      </c>
      <c r="CI160" s="1938" t="s">
        <v>3297</v>
      </c>
      <c r="CJ160" s="2695">
        <v>0.15</v>
      </c>
      <c r="CK160" s="2695">
        <v>0.15</v>
      </c>
      <c r="CL160" s="2695">
        <v>0.15</v>
      </c>
      <c r="CM160" s="2695">
        <v>0.15</v>
      </c>
      <c r="CN160" s="2695">
        <v>0.15</v>
      </c>
      <c r="CO160" s="2695">
        <v>0.15</v>
      </c>
      <c r="CP160" s="2695">
        <v>0.15</v>
      </c>
      <c r="CQ160" s="2695">
        <v>0.15</v>
      </c>
      <c r="CR160" s="2695">
        <v>0.15</v>
      </c>
      <c r="CS160" s="2695">
        <v>0.15</v>
      </c>
      <c r="CT160" s="2731">
        <f t="shared" si="164"/>
        <v>0</v>
      </c>
      <c r="CU160" s="2712">
        <f t="shared" si="165"/>
        <v>0</v>
      </c>
      <c r="CV160" s="2712">
        <f t="shared" si="166"/>
        <v>0</v>
      </c>
      <c r="CX160" s="1937" t="s">
        <v>3283</v>
      </c>
      <c r="CY160" s="1941" t="s">
        <v>3293</v>
      </c>
      <c r="CZ160" s="1938"/>
      <c r="DA160" s="2695">
        <f t="shared" si="153"/>
        <v>0</v>
      </c>
      <c r="DB160" s="2695"/>
      <c r="DC160" s="2695"/>
      <c r="DD160" s="2695"/>
      <c r="DE160" s="2695"/>
      <c r="DF160" s="2695"/>
      <c r="DG160" s="2695"/>
      <c r="DH160" s="2695"/>
      <c r="DI160" s="2695"/>
      <c r="DJ160" s="2695"/>
      <c r="DK160" s="2922"/>
      <c r="DL160" s="2908"/>
      <c r="DM160" s="2908"/>
    </row>
    <row r="161" spans="1:117" hidden="1">
      <c r="A161" s="2687"/>
      <c r="B161" s="1916" t="s">
        <v>3284</v>
      </c>
      <c r="C161" s="1938">
        <f t="shared" si="147"/>
        <v>0</v>
      </c>
      <c r="D161" s="1926" t="e">
        <f t="shared" si="188"/>
        <v>#DIV/0!</v>
      </c>
      <c r="E161" s="1926" t="e">
        <f t="shared" si="188"/>
        <v>#DIV/0!</v>
      </c>
      <c r="F161" s="2687"/>
      <c r="G161" s="1936" t="e">
        <f t="shared" si="184"/>
        <v>#DIV/0!</v>
      </c>
      <c r="H161" s="1936" t="e">
        <f t="shared" si="185"/>
        <v>#DIV/0!</v>
      </c>
      <c r="I161" s="1936"/>
      <c r="J161" s="1936"/>
      <c r="K161" s="1936">
        <f>IF(スコア!O161=0,0,1)</f>
        <v>1</v>
      </c>
      <c r="L161" s="1936">
        <f>IF(スコア!R161=0,0,1)</f>
        <v>0</v>
      </c>
      <c r="M161" s="1936" t="e">
        <f t="shared" si="186"/>
        <v>#DIV/0!</v>
      </c>
      <c r="N161" s="1936" t="e">
        <f t="shared" si="187"/>
        <v>#DIV/0!</v>
      </c>
      <c r="O161" s="2687"/>
      <c r="P161" s="1937" t="str">
        <f t="shared" si="149"/>
        <v>2.6.3</v>
      </c>
      <c r="Q161" s="1937" t="str">
        <f t="shared" si="150"/>
        <v>LR2 2.2</v>
      </c>
      <c r="R161" s="1938">
        <f t="shared" si="151"/>
        <v>0</v>
      </c>
      <c r="S161" s="2799">
        <f t="shared" si="133"/>
        <v>0</v>
      </c>
      <c r="T161" s="2799">
        <f t="shared" si="134"/>
        <v>0</v>
      </c>
      <c r="U161" s="2799">
        <f t="shared" si="135"/>
        <v>0</v>
      </c>
      <c r="V161" s="2799">
        <f t="shared" si="136"/>
        <v>0</v>
      </c>
      <c r="W161" s="2799">
        <f t="shared" si="137"/>
        <v>0</v>
      </c>
      <c r="X161" s="2799">
        <f t="shared" si="138"/>
        <v>0</v>
      </c>
      <c r="Y161" s="2799">
        <f t="shared" si="139"/>
        <v>0</v>
      </c>
      <c r="Z161" s="2801">
        <f t="shared" si="140"/>
        <v>0</v>
      </c>
      <c r="AA161" s="2799">
        <f t="shared" si="141"/>
        <v>0</v>
      </c>
      <c r="AB161" s="2799">
        <f t="shared" si="142"/>
        <v>0</v>
      </c>
      <c r="AC161" s="2820">
        <f t="shared" si="143"/>
        <v>0</v>
      </c>
      <c r="AD161" s="2804">
        <f t="shared" si="144"/>
        <v>0</v>
      </c>
      <c r="AE161" s="2804">
        <f t="shared" si="145"/>
        <v>0</v>
      </c>
      <c r="AF161" s="2687"/>
      <c r="AG161" s="1937"/>
      <c r="AH161" s="1941"/>
      <c r="AI161" s="1938"/>
      <c r="AJ161" s="1944"/>
      <c r="AK161" s="1944"/>
      <c r="AL161" s="1944"/>
      <c r="AM161" s="1944"/>
      <c r="AN161" s="1944"/>
      <c r="AO161" s="1944"/>
      <c r="AP161" s="1944"/>
      <c r="AQ161" s="1944"/>
      <c r="AR161" s="1944"/>
      <c r="AS161" s="1944"/>
      <c r="AT161" s="2006"/>
      <c r="AU161" s="1957"/>
      <c r="AV161" s="1957"/>
      <c r="AW161" s="2687"/>
      <c r="AX161" s="1937"/>
      <c r="AY161" s="1941"/>
      <c r="AZ161" s="1938"/>
      <c r="BA161" s="1944"/>
      <c r="BB161" s="1944"/>
      <c r="BC161" s="1944"/>
      <c r="BD161" s="1944"/>
      <c r="BE161" s="1944"/>
      <c r="BF161" s="1944"/>
      <c r="BG161" s="1944"/>
      <c r="BH161" s="1944"/>
      <c r="BI161" s="1944"/>
      <c r="BJ161" s="1944"/>
      <c r="BK161" s="2006"/>
      <c r="BL161" s="1957"/>
      <c r="BM161" s="1957"/>
      <c r="BN161" s="2687"/>
      <c r="BO161" s="1937" t="s">
        <v>3284</v>
      </c>
      <c r="BP161" s="1941" t="s">
        <v>3293</v>
      </c>
      <c r="BQ161" s="1938"/>
      <c r="BR161" s="1944"/>
      <c r="BS161" s="1944"/>
      <c r="BT161" s="1944"/>
      <c r="BU161" s="1944"/>
      <c r="BV161" s="1944"/>
      <c r="BW161" s="1944"/>
      <c r="BX161" s="1944"/>
      <c r="BY161" s="1944"/>
      <c r="BZ161" s="1944"/>
      <c r="CA161" s="1944"/>
      <c r="CB161" s="2006"/>
      <c r="CC161" s="1957"/>
      <c r="CD161" s="1957"/>
      <c r="CE161" s="2266"/>
      <c r="CF161" s="2687"/>
      <c r="CG161" s="1937" t="s">
        <v>3284</v>
      </c>
      <c r="CH161" s="1941" t="s">
        <v>3293</v>
      </c>
      <c r="CI161" s="1938" t="s">
        <v>3299</v>
      </c>
      <c r="CJ161" s="2695">
        <v>0.15</v>
      </c>
      <c r="CK161" s="2695">
        <v>0.15</v>
      </c>
      <c r="CL161" s="2695">
        <v>0.15</v>
      </c>
      <c r="CM161" s="2695">
        <v>0.15</v>
      </c>
      <c r="CN161" s="2695">
        <v>0.15</v>
      </c>
      <c r="CO161" s="2695">
        <v>0.15</v>
      </c>
      <c r="CP161" s="2695">
        <v>0.15</v>
      </c>
      <c r="CQ161" s="2695">
        <v>0.15</v>
      </c>
      <c r="CR161" s="2695">
        <v>0.15</v>
      </c>
      <c r="CS161" s="2695">
        <v>0.15</v>
      </c>
      <c r="CT161" s="2731">
        <f t="shared" si="164"/>
        <v>0</v>
      </c>
      <c r="CU161" s="2712">
        <f t="shared" si="165"/>
        <v>0</v>
      </c>
      <c r="CV161" s="2712">
        <f t="shared" si="166"/>
        <v>0</v>
      </c>
      <c r="CX161" s="1937" t="s">
        <v>3284</v>
      </c>
      <c r="CY161" s="1941" t="s">
        <v>3293</v>
      </c>
      <c r="CZ161" s="1938"/>
      <c r="DA161" s="2695">
        <f t="shared" si="153"/>
        <v>0</v>
      </c>
      <c r="DB161" s="2695"/>
      <c r="DC161" s="2695"/>
      <c r="DD161" s="2695"/>
      <c r="DE161" s="2695"/>
      <c r="DF161" s="2695"/>
      <c r="DG161" s="2695"/>
      <c r="DH161" s="2695"/>
      <c r="DI161" s="2695"/>
      <c r="DJ161" s="2695"/>
      <c r="DK161" s="2922"/>
      <c r="DL161" s="2908"/>
      <c r="DM161" s="2908"/>
    </row>
    <row r="162" spans="1:117" hidden="1">
      <c r="A162" s="2687"/>
      <c r="B162" s="1916" t="s">
        <v>3285</v>
      </c>
      <c r="C162" s="1938">
        <f t="shared" si="147"/>
        <v>0</v>
      </c>
      <c r="D162" s="1926" t="e">
        <f t="shared" si="188"/>
        <v>#DIV/0!</v>
      </c>
      <c r="E162" s="1926" t="e">
        <f t="shared" si="188"/>
        <v>#DIV/0!</v>
      </c>
      <c r="F162" s="2687"/>
      <c r="G162" s="1936" t="e">
        <f t="shared" si="184"/>
        <v>#DIV/0!</v>
      </c>
      <c r="H162" s="1936" t="e">
        <f t="shared" si="185"/>
        <v>#DIV/0!</v>
      </c>
      <c r="I162" s="1936"/>
      <c r="J162" s="1936"/>
      <c r="K162" s="1936">
        <f>IF(スコア!O162=0,0,1)</f>
        <v>1</v>
      </c>
      <c r="L162" s="1936">
        <f>IF(スコア!R162=0,0,1)</f>
        <v>0</v>
      </c>
      <c r="M162" s="1936" t="e">
        <f t="shared" si="186"/>
        <v>#DIV/0!</v>
      </c>
      <c r="N162" s="1936" t="e">
        <f t="shared" si="187"/>
        <v>#DIV/0!</v>
      </c>
      <c r="O162" s="2687"/>
      <c r="P162" s="1937" t="str">
        <f t="shared" si="149"/>
        <v>2.6.4</v>
      </c>
      <c r="Q162" s="1937" t="str">
        <f t="shared" si="150"/>
        <v>LR2 2.2</v>
      </c>
      <c r="R162" s="1938">
        <f t="shared" si="151"/>
        <v>0</v>
      </c>
      <c r="S162" s="2799">
        <f t="shared" si="133"/>
        <v>0</v>
      </c>
      <c r="T162" s="2799">
        <f t="shared" si="134"/>
        <v>0</v>
      </c>
      <c r="U162" s="2799">
        <f t="shared" si="135"/>
        <v>0</v>
      </c>
      <c r="V162" s="2799">
        <f t="shared" si="136"/>
        <v>0</v>
      </c>
      <c r="W162" s="2799">
        <f t="shared" si="137"/>
        <v>0</v>
      </c>
      <c r="X162" s="2799">
        <f t="shared" si="138"/>
        <v>0</v>
      </c>
      <c r="Y162" s="2799">
        <f t="shared" si="139"/>
        <v>0</v>
      </c>
      <c r="Z162" s="2801">
        <f t="shared" si="140"/>
        <v>0</v>
      </c>
      <c r="AA162" s="2799">
        <f t="shared" si="141"/>
        <v>0</v>
      </c>
      <c r="AB162" s="2799">
        <f t="shared" si="142"/>
        <v>0</v>
      </c>
      <c r="AC162" s="2820">
        <f t="shared" si="143"/>
        <v>0</v>
      </c>
      <c r="AD162" s="2804">
        <f t="shared" si="144"/>
        <v>0</v>
      </c>
      <c r="AE162" s="2804">
        <f t="shared" si="145"/>
        <v>0</v>
      </c>
      <c r="AF162" s="2687"/>
      <c r="AG162" s="1937"/>
      <c r="AH162" s="1941"/>
      <c r="AI162" s="1938"/>
      <c r="AJ162" s="1944"/>
      <c r="AK162" s="1944"/>
      <c r="AL162" s="1944"/>
      <c r="AM162" s="1944"/>
      <c r="AN162" s="1944"/>
      <c r="AO162" s="1944"/>
      <c r="AP162" s="1944"/>
      <c r="AQ162" s="1944"/>
      <c r="AR162" s="1944"/>
      <c r="AS162" s="1944"/>
      <c r="AT162" s="2006"/>
      <c r="AU162" s="1957"/>
      <c r="AV162" s="1957"/>
      <c r="AW162" s="2687"/>
      <c r="AX162" s="1937"/>
      <c r="AY162" s="1941"/>
      <c r="AZ162" s="1938"/>
      <c r="BA162" s="1944"/>
      <c r="BB162" s="1944"/>
      <c r="BC162" s="1944"/>
      <c r="BD162" s="1944"/>
      <c r="BE162" s="1944"/>
      <c r="BF162" s="1944"/>
      <c r="BG162" s="1944"/>
      <c r="BH162" s="1944"/>
      <c r="BI162" s="1944"/>
      <c r="BJ162" s="1944"/>
      <c r="BK162" s="2006"/>
      <c r="BL162" s="1957"/>
      <c r="BM162" s="1957"/>
      <c r="BN162" s="2687"/>
      <c r="BO162" s="1937" t="s">
        <v>3285</v>
      </c>
      <c r="BP162" s="1941" t="s">
        <v>3293</v>
      </c>
      <c r="BQ162" s="1938"/>
      <c r="BR162" s="1944"/>
      <c r="BS162" s="1944"/>
      <c r="BT162" s="1944"/>
      <c r="BU162" s="1944"/>
      <c r="BV162" s="1944"/>
      <c r="BW162" s="1944"/>
      <c r="BX162" s="1944"/>
      <c r="BY162" s="1944"/>
      <c r="BZ162" s="1944"/>
      <c r="CA162" s="1944"/>
      <c r="CB162" s="2006"/>
      <c r="CC162" s="1957"/>
      <c r="CD162" s="1957"/>
      <c r="CE162" s="2266"/>
      <c r="CF162" s="2687"/>
      <c r="CG162" s="1937" t="s">
        <v>3285</v>
      </c>
      <c r="CH162" s="1941" t="s">
        <v>3293</v>
      </c>
      <c r="CI162" s="1938" t="s">
        <v>3301</v>
      </c>
      <c r="CJ162" s="2695">
        <v>0.15</v>
      </c>
      <c r="CK162" s="2695">
        <v>0.15</v>
      </c>
      <c r="CL162" s="2695">
        <v>0.15</v>
      </c>
      <c r="CM162" s="2695">
        <v>0.15</v>
      </c>
      <c r="CN162" s="2695">
        <v>0.15</v>
      </c>
      <c r="CO162" s="2695">
        <v>0.15</v>
      </c>
      <c r="CP162" s="2695">
        <v>0.15</v>
      </c>
      <c r="CQ162" s="2695">
        <v>0.15</v>
      </c>
      <c r="CR162" s="2695">
        <v>0.15</v>
      </c>
      <c r="CS162" s="2695">
        <v>0.15</v>
      </c>
      <c r="CT162" s="2731">
        <f t="shared" si="164"/>
        <v>0</v>
      </c>
      <c r="CU162" s="2712">
        <f t="shared" si="165"/>
        <v>0</v>
      </c>
      <c r="CV162" s="2712">
        <f t="shared" si="166"/>
        <v>0</v>
      </c>
      <c r="CX162" s="1937" t="s">
        <v>3285</v>
      </c>
      <c r="CY162" s="1941" t="s">
        <v>3293</v>
      </c>
      <c r="CZ162" s="1938"/>
      <c r="DA162" s="2695">
        <f t="shared" si="153"/>
        <v>0</v>
      </c>
      <c r="DB162" s="2695"/>
      <c r="DC162" s="2695"/>
      <c r="DD162" s="2695"/>
      <c r="DE162" s="2695"/>
      <c r="DF162" s="2695"/>
      <c r="DG162" s="2695"/>
      <c r="DH162" s="2695"/>
      <c r="DI162" s="2695"/>
      <c r="DJ162" s="2695"/>
      <c r="DK162" s="2922"/>
      <c r="DL162" s="2908"/>
      <c r="DM162" s="2908"/>
    </row>
    <row r="163" spans="1:117" hidden="1">
      <c r="A163" s="2687"/>
      <c r="B163" s="1916" t="s">
        <v>3286</v>
      </c>
      <c r="C163" s="1938">
        <f t="shared" si="147"/>
        <v>0</v>
      </c>
      <c r="D163" s="1926" t="e">
        <f t="shared" si="188"/>
        <v>#DIV/0!</v>
      </c>
      <c r="E163" s="1926" t="e">
        <f t="shared" si="188"/>
        <v>#DIV/0!</v>
      </c>
      <c r="F163" s="2687"/>
      <c r="G163" s="1936" t="e">
        <f t="shared" si="184"/>
        <v>#DIV/0!</v>
      </c>
      <c r="H163" s="1936" t="e">
        <f t="shared" si="185"/>
        <v>#DIV/0!</v>
      </c>
      <c r="I163" s="1936"/>
      <c r="J163" s="1936"/>
      <c r="K163" s="1936">
        <f>IF(スコア!O163=0,0,1)</f>
        <v>1</v>
      </c>
      <c r="L163" s="1936">
        <f>IF(スコア!R163=0,0,1)</f>
        <v>0</v>
      </c>
      <c r="M163" s="1936" t="e">
        <f t="shared" si="186"/>
        <v>#DIV/0!</v>
      </c>
      <c r="N163" s="1936" t="e">
        <f t="shared" si="187"/>
        <v>#DIV/0!</v>
      </c>
      <c r="O163" s="2687"/>
      <c r="P163" s="1937" t="str">
        <f t="shared" si="149"/>
        <v>2.6.5</v>
      </c>
      <c r="Q163" s="1937" t="str">
        <f t="shared" si="150"/>
        <v>LR2 2.2</v>
      </c>
      <c r="R163" s="1938">
        <f t="shared" si="151"/>
        <v>0</v>
      </c>
      <c r="S163" s="2799">
        <f t="shared" si="133"/>
        <v>0</v>
      </c>
      <c r="T163" s="2799">
        <f t="shared" si="134"/>
        <v>0</v>
      </c>
      <c r="U163" s="2799">
        <f t="shared" si="135"/>
        <v>0</v>
      </c>
      <c r="V163" s="2799">
        <f t="shared" si="136"/>
        <v>0</v>
      </c>
      <c r="W163" s="2799">
        <f t="shared" si="137"/>
        <v>0</v>
      </c>
      <c r="X163" s="2799">
        <f t="shared" si="138"/>
        <v>0</v>
      </c>
      <c r="Y163" s="2799">
        <f t="shared" si="139"/>
        <v>0</v>
      </c>
      <c r="Z163" s="2801">
        <f t="shared" si="140"/>
        <v>0</v>
      </c>
      <c r="AA163" s="2799">
        <f t="shared" si="141"/>
        <v>0</v>
      </c>
      <c r="AB163" s="2799">
        <f t="shared" si="142"/>
        <v>0</v>
      </c>
      <c r="AC163" s="2820">
        <f t="shared" si="143"/>
        <v>0</v>
      </c>
      <c r="AD163" s="2804">
        <f t="shared" si="144"/>
        <v>0</v>
      </c>
      <c r="AE163" s="2804">
        <f t="shared" si="145"/>
        <v>0</v>
      </c>
      <c r="AF163" s="2687"/>
      <c r="AG163" s="1937"/>
      <c r="AH163" s="1941"/>
      <c r="AI163" s="1938"/>
      <c r="AJ163" s="1944"/>
      <c r="AK163" s="1944"/>
      <c r="AL163" s="1944"/>
      <c r="AM163" s="1944"/>
      <c r="AN163" s="1944"/>
      <c r="AO163" s="1944"/>
      <c r="AP163" s="1944"/>
      <c r="AQ163" s="1944"/>
      <c r="AR163" s="1944"/>
      <c r="AS163" s="1944"/>
      <c r="AT163" s="2006"/>
      <c r="AU163" s="1957"/>
      <c r="AV163" s="1957"/>
      <c r="AW163" s="2687"/>
      <c r="AX163" s="1937"/>
      <c r="AY163" s="1941"/>
      <c r="AZ163" s="1938"/>
      <c r="BA163" s="1944"/>
      <c r="BB163" s="1944"/>
      <c r="BC163" s="1944"/>
      <c r="BD163" s="1944"/>
      <c r="BE163" s="1944"/>
      <c r="BF163" s="1944"/>
      <c r="BG163" s="1944"/>
      <c r="BH163" s="1944"/>
      <c r="BI163" s="1944"/>
      <c r="BJ163" s="1944"/>
      <c r="BK163" s="2006"/>
      <c r="BL163" s="1957"/>
      <c r="BM163" s="1957"/>
      <c r="BN163" s="2687"/>
      <c r="BO163" s="1937" t="s">
        <v>3286</v>
      </c>
      <c r="BP163" s="1941" t="s">
        <v>3293</v>
      </c>
      <c r="BQ163" s="1938"/>
      <c r="BR163" s="1944"/>
      <c r="BS163" s="1944"/>
      <c r="BT163" s="1944"/>
      <c r="BU163" s="1944"/>
      <c r="BV163" s="1944"/>
      <c r="BW163" s="1944"/>
      <c r="BX163" s="1944"/>
      <c r="BY163" s="1944"/>
      <c r="BZ163" s="1944"/>
      <c r="CA163" s="1944"/>
      <c r="CB163" s="2006"/>
      <c r="CC163" s="1957"/>
      <c r="CD163" s="1957"/>
      <c r="CE163" s="2266"/>
      <c r="CF163" s="2687"/>
      <c r="CG163" s="1937" t="s">
        <v>3286</v>
      </c>
      <c r="CH163" s="1941" t="s">
        <v>3293</v>
      </c>
      <c r="CI163" s="1938" t="s">
        <v>3303</v>
      </c>
      <c r="CJ163" s="2695">
        <v>0.15</v>
      </c>
      <c r="CK163" s="2695">
        <v>0.15</v>
      </c>
      <c r="CL163" s="2695">
        <v>0.15</v>
      </c>
      <c r="CM163" s="2695">
        <v>0.15</v>
      </c>
      <c r="CN163" s="2695">
        <v>0.15</v>
      </c>
      <c r="CO163" s="2695">
        <v>0.15</v>
      </c>
      <c r="CP163" s="2695">
        <v>0.15</v>
      </c>
      <c r="CQ163" s="2695">
        <v>0.15</v>
      </c>
      <c r="CR163" s="2695">
        <v>0.15</v>
      </c>
      <c r="CS163" s="2695">
        <v>0.15</v>
      </c>
      <c r="CT163" s="2731">
        <f t="shared" si="164"/>
        <v>0</v>
      </c>
      <c r="CU163" s="2712">
        <f t="shared" si="165"/>
        <v>0</v>
      </c>
      <c r="CV163" s="2712">
        <f t="shared" si="166"/>
        <v>0</v>
      </c>
      <c r="CX163" s="1937" t="s">
        <v>3286</v>
      </c>
      <c r="CY163" s="1941" t="s">
        <v>3293</v>
      </c>
      <c r="CZ163" s="1938"/>
      <c r="DA163" s="2695">
        <f t="shared" si="153"/>
        <v>0</v>
      </c>
      <c r="DB163" s="2695"/>
      <c r="DC163" s="2695"/>
      <c r="DD163" s="2695"/>
      <c r="DE163" s="2695"/>
      <c r="DF163" s="2695"/>
      <c r="DG163" s="2695"/>
      <c r="DH163" s="2695"/>
      <c r="DI163" s="2695"/>
      <c r="DJ163" s="2695"/>
      <c r="DK163" s="2922"/>
      <c r="DL163" s="2908"/>
      <c r="DM163" s="2908"/>
    </row>
    <row r="164" spans="1:117" hidden="1">
      <c r="A164" s="2687"/>
      <c r="B164" s="1916" t="s">
        <v>3287</v>
      </c>
      <c r="C164" s="1938">
        <f t="shared" si="147"/>
        <v>0</v>
      </c>
      <c r="D164" s="1926" t="e">
        <f>IF(I$158&gt;0,G164/I$158,0)</f>
        <v>#DIV/0!</v>
      </c>
      <c r="E164" s="1926" t="e">
        <f>IF(J$158&gt;0,H164/J$158,0)</f>
        <v>#DIV/0!</v>
      </c>
      <c r="F164" s="2687"/>
      <c r="G164" s="1936" t="e">
        <f t="shared" si="184"/>
        <v>#DIV/0!</v>
      </c>
      <c r="H164" s="1936" t="e">
        <f t="shared" si="185"/>
        <v>#DIV/0!</v>
      </c>
      <c r="I164" s="1936"/>
      <c r="J164" s="1936"/>
      <c r="K164" s="1936">
        <f>IF(スコア!O164=0,0,1)</f>
        <v>1</v>
      </c>
      <c r="L164" s="1936">
        <f>IF(スコア!R164=0,0,1)</f>
        <v>0</v>
      </c>
      <c r="M164" s="1936" t="e">
        <f t="shared" si="186"/>
        <v>#DIV/0!</v>
      </c>
      <c r="N164" s="1936" t="e">
        <f t="shared" si="187"/>
        <v>#DIV/0!</v>
      </c>
      <c r="O164" s="2687"/>
      <c r="P164" s="1937" t="str">
        <f t="shared" si="149"/>
        <v>2.6.6</v>
      </c>
      <c r="Q164" s="1937" t="str">
        <f t="shared" si="150"/>
        <v>LR2 2.2</v>
      </c>
      <c r="R164" s="1938">
        <f t="shared" si="151"/>
        <v>0</v>
      </c>
      <c r="S164" s="2799">
        <f t="shared" si="133"/>
        <v>0</v>
      </c>
      <c r="T164" s="2799">
        <f t="shared" si="134"/>
        <v>0</v>
      </c>
      <c r="U164" s="2799">
        <f t="shared" si="135"/>
        <v>0</v>
      </c>
      <c r="V164" s="2799">
        <f t="shared" si="136"/>
        <v>0</v>
      </c>
      <c r="W164" s="2799">
        <f t="shared" si="137"/>
        <v>0</v>
      </c>
      <c r="X164" s="2799">
        <f t="shared" si="138"/>
        <v>0</v>
      </c>
      <c r="Y164" s="2799">
        <f t="shared" si="139"/>
        <v>0</v>
      </c>
      <c r="Z164" s="2801">
        <f t="shared" si="140"/>
        <v>0</v>
      </c>
      <c r="AA164" s="2799">
        <f t="shared" si="141"/>
        <v>0</v>
      </c>
      <c r="AB164" s="2799">
        <f t="shared" si="142"/>
        <v>0</v>
      </c>
      <c r="AC164" s="2820">
        <f t="shared" si="143"/>
        <v>0</v>
      </c>
      <c r="AD164" s="2804">
        <f t="shared" si="144"/>
        <v>0</v>
      </c>
      <c r="AE164" s="2804">
        <f t="shared" si="145"/>
        <v>0</v>
      </c>
      <c r="AF164" s="2687"/>
      <c r="AG164" s="1937"/>
      <c r="AH164" s="1941"/>
      <c r="AI164" s="1938"/>
      <c r="AJ164" s="1944"/>
      <c r="AK164" s="1944"/>
      <c r="AL164" s="1944"/>
      <c r="AM164" s="1944"/>
      <c r="AN164" s="1944"/>
      <c r="AO164" s="1944"/>
      <c r="AP164" s="1944"/>
      <c r="AQ164" s="1944"/>
      <c r="AR164" s="1944"/>
      <c r="AS164" s="1944"/>
      <c r="AT164" s="2006"/>
      <c r="AU164" s="1957"/>
      <c r="AV164" s="1957"/>
      <c r="AW164" s="2687"/>
      <c r="AX164" s="1937"/>
      <c r="AY164" s="1941"/>
      <c r="AZ164" s="1938"/>
      <c r="BA164" s="1944"/>
      <c r="BB164" s="1944"/>
      <c r="BC164" s="1944"/>
      <c r="BD164" s="1944"/>
      <c r="BE164" s="1944"/>
      <c r="BF164" s="1944"/>
      <c r="BG164" s="1944"/>
      <c r="BH164" s="1944"/>
      <c r="BI164" s="1944"/>
      <c r="BJ164" s="1944"/>
      <c r="BK164" s="2006"/>
      <c r="BL164" s="1957"/>
      <c r="BM164" s="1957"/>
      <c r="BN164" s="2687"/>
      <c r="BO164" s="1937" t="s">
        <v>3287</v>
      </c>
      <c r="BP164" s="1941" t="s">
        <v>3293</v>
      </c>
      <c r="BQ164" s="1938"/>
      <c r="BR164" s="1944"/>
      <c r="BS164" s="1944"/>
      <c r="BT164" s="1944"/>
      <c r="BU164" s="1944"/>
      <c r="BV164" s="1944"/>
      <c r="BW164" s="1944"/>
      <c r="BX164" s="1944"/>
      <c r="BY164" s="1944"/>
      <c r="BZ164" s="1944"/>
      <c r="CA164" s="1944"/>
      <c r="CB164" s="2006"/>
      <c r="CC164" s="1957"/>
      <c r="CD164" s="1957"/>
      <c r="CE164" s="2266"/>
      <c r="CF164" s="2687"/>
      <c r="CG164" s="1937" t="s">
        <v>3287</v>
      </c>
      <c r="CH164" s="1941" t="s">
        <v>3293</v>
      </c>
      <c r="CI164" s="1938" t="s">
        <v>3305</v>
      </c>
      <c r="CJ164" s="2695">
        <v>0.15</v>
      </c>
      <c r="CK164" s="2695">
        <v>0.15</v>
      </c>
      <c r="CL164" s="2695">
        <v>0.15</v>
      </c>
      <c r="CM164" s="2695">
        <v>0.15</v>
      </c>
      <c r="CN164" s="2695">
        <v>0.15</v>
      </c>
      <c r="CO164" s="2695">
        <v>0.15</v>
      </c>
      <c r="CP164" s="2695">
        <v>0.15</v>
      </c>
      <c r="CQ164" s="2695">
        <v>0.15</v>
      </c>
      <c r="CR164" s="2695">
        <v>0.15</v>
      </c>
      <c r="CS164" s="2695">
        <v>0.15</v>
      </c>
      <c r="CT164" s="2731">
        <f t="shared" si="164"/>
        <v>0</v>
      </c>
      <c r="CU164" s="2712">
        <f t="shared" si="165"/>
        <v>0</v>
      </c>
      <c r="CV164" s="2712">
        <f t="shared" si="166"/>
        <v>0</v>
      </c>
      <c r="CX164" s="1937" t="s">
        <v>3287</v>
      </c>
      <c r="CY164" s="1941" t="s">
        <v>3293</v>
      </c>
      <c r="CZ164" s="1938"/>
      <c r="DA164" s="2695">
        <f t="shared" si="153"/>
        <v>0</v>
      </c>
      <c r="DB164" s="2695"/>
      <c r="DC164" s="2695"/>
      <c r="DD164" s="2695"/>
      <c r="DE164" s="2695"/>
      <c r="DF164" s="2695"/>
      <c r="DG164" s="2695"/>
      <c r="DH164" s="2695"/>
      <c r="DI164" s="2695"/>
      <c r="DJ164" s="2695"/>
      <c r="DK164" s="2922"/>
      <c r="DL164" s="2908"/>
      <c r="DM164" s="2908"/>
    </row>
    <row r="165" spans="1:117" hidden="1">
      <c r="A165" s="2687"/>
      <c r="B165" s="1916">
        <v>2.7</v>
      </c>
      <c r="C165" s="1938">
        <f t="shared" si="147"/>
        <v>0</v>
      </c>
      <c r="D165" s="1935" t="e">
        <f>IF(I$151=0,0,G165/I$151)</f>
        <v>#DIV/0!</v>
      </c>
      <c r="E165" s="1936" t="e">
        <f>IF(J$151=0,0,H165/J$151)</f>
        <v>#DIV/0!</v>
      </c>
      <c r="F165" s="2687"/>
      <c r="G165" s="1936" t="e">
        <f t="shared" si="184"/>
        <v>#DIV/0!</v>
      </c>
      <c r="H165" s="1936" t="e">
        <f>L165*N165</f>
        <v>#DIV/0!</v>
      </c>
      <c r="I165" s="1936"/>
      <c r="J165" s="1936"/>
      <c r="K165" s="1936">
        <f>IF(スコア!O165=0,0,1)</f>
        <v>1</v>
      </c>
      <c r="L165" s="1936">
        <f>IF(スコア!R165=0,0,1)</f>
        <v>0</v>
      </c>
      <c r="M165" s="1936" t="e">
        <f t="shared" si="186"/>
        <v>#DIV/0!</v>
      </c>
      <c r="N165" s="1936" t="e">
        <f t="shared" si="187"/>
        <v>#DIV/0!</v>
      </c>
      <c r="O165" s="2687"/>
      <c r="P165" s="1937">
        <f t="shared" si="149"/>
        <v>2.7</v>
      </c>
      <c r="Q165" s="1937" t="str">
        <f t="shared" si="150"/>
        <v>LR2 2</v>
      </c>
      <c r="R165" s="1938">
        <f t="shared" si="151"/>
        <v>0</v>
      </c>
      <c r="S165" s="2799">
        <f t="shared" si="133"/>
        <v>0</v>
      </c>
      <c r="T165" s="2799">
        <f t="shared" si="134"/>
        <v>0</v>
      </c>
      <c r="U165" s="2799">
        <f t="shared" si="135"/>
        <v>0</v>
      </c>
      <c r="V165" s="2799">
        <f t="shared" si="136"/>
        <v>0</v>
      </c>
      <c r="W165" s="2799">
        <f t="shared" si="137"/>
        <v>0</v>
      </c>
      <c r="X165" s="2799">
        <f t="shared" si="138"/>
        <v>0</v>
      </c>
      <c r="Y165" s="2799">
        <f t="shared" si="139"/>
        <v>0</v>
      </c>
      <c r="Z165" s="2801">
        <f t="shared" si="140"/>
        <v>0</v>
      </c>
      <c r="AA165" s="2799">
        <f t="shared" si="141"/>
        <v>0</v>
      </c>
      <c r="AB165" s="2799">
        <f t="shared" si="142"/>
        <v>0</v>
      </c>
      <c r="AC165" s="2820">
        <f t="shared" si="143"/>
        <v>0</v>
      </c>
      <c r="AD165" s="2804">
        <f t="shared" si="144"/>
        <v>0</v>
      </c>
      <c r="AE165" s="2804">
        <f t="shared" si="145"/>
        <v>0</v>
      </c>
      <c r="AF165" s="2687"/>
      <c r="AG165" s="1937"/>
      <c r="AH165" s="1941"/>
      <c r="AI165" s="1938"/>
      <c r="AJ165" s="1944"/>
      <c r="AK165" s="1944"/>
      <c r="AL165" s="1944"/>
      <c r="AM165" s="1944"/>
      <c r="AN165" s="1944"/>
      <c r="AO165" s="1944"/>
      <c r="AP165" s="1944"/>
      <c r="AQ165" s="1944"/>
      <c r="AR165" s="1944"/>
      <c r="AS165" s="1944"/>
      <c r="AT165" s="2006"/>
      <c r="AU165" s="1957"/>
      <c r="AV165" s="1957"/>
      <c r="AW165" s="2687"/>
      <c r="AX165" s="1937"/>
      <c r="AY165" s="1941"/>
      <c r="AZ165" s="1938"/>
      <c r="BA165" s="1944"/>
      <c r="BB165" s="1944"/>
      <c r="BC165" s="1944"/>
      <c r="BD165" s="1944"/>
      <c r="BE165" s="1944"/>
      <c r="BF165" s="1944"/>
      <c r="BG165" s="1944"/>
      <c r="BH165" s="1944"/>
      <c r="BI165" s="1944"/>
      <c r="BJ165" s="1944"/>
      <c r="BK165" s="2006"/>
      <c r="BL165" s="1957"/>
      <c r="BM165" s="1957"/>
      <c r="BN165" s="2687"/>
      <c r="BO165" s="1937">
        <v>2.7</v>
      </c>
      <c r="BP165" s="1941" t="s">
        <v>3307</v>
      </c>
      <c r="BQ165" s="1938"/>
      <c r="BR165" s="1944"/>
      <c r="BS165" s="1944"/>
      <c r="BT165" s="1944"/>
      <c r="BU165" s="1944"/>
      <c r="BV165" s="1944"/>
      <c r="BW165" s="1944"/>
      <c r="BX165" s="1944"/>
      <c r="BY165" s="1944"/>
      <c r="BZ165" s="1944"/>
      <c r="CA165" s="1944"/>
      <c r="CB165" s="2006"/>
      <c r="CC165" s="1957"/>
      <c r="CD165" s="1957"/>
      <c r="CE165" s="2266"/>
      <c r="CF165" s="2687"/>
      <c r="CG165" s="1937">
        <v>2.7</v>
      </c>
      <c r="CH165" s="1941" t="s">
        <v>3307</v>
      </c>
      <c r="CI165" s="1938" t="s">
        <v>3276</v>
      </c>
      <c r="CJ165" s="2695">
        <v>0.2</v>
      </c>
      <c r="CK165" s="2695">
        <v>0.2</v>
      </c>
      <c r="CL165" s="2695">
        <v>0.2</v>
      </c>
      <c r="CM165" s="2695">
        <v>0.2</v>
      </c>
      <c r="CN165" s="2695">
        <v>0.2</v>
      </c>
      <c r="CO165" s="2695">
        <v>0.2</v>
      </c>
      <c r="CP165" s="2695">
        <v>0.2</v>
      </c>
      <c r="CQ165" s="2695">
        <v>0.2</v>
      </c>
      <c r="CR165" s="2695">
        <v>0.2</v>
      </c>
      <c r="CS165" s="2695">
        <v>0.2</v>
      </c>
      <c r="CT165" s="2731">
        <f t="shared" si="164"/>
        <v>0</v>
      </c>
      <c r="CU165" s="2712">
        <f t="shared" si="165"/>
        <v>0</v>
      </c>
      <c r="CV165" s="2712">
        <f t="shared" si="166"/>
        <v>0</v>
      </c>
      <c r="CX165" s="1937">
        <v>2.7</v>
      </c>
      <c r="CY165" s="1941" t="s">
        <v>3307</v>
      </c>
      <c r="CZ165" s="1938"/>
      <c r="DA165" s="2695">
        <f t="shared" si="153"/>
        <v>0</v>
      </c>
      <c r="DB165" s="2695"/>
      <c r="DC165" s="2695"/>
      <c r="DD165" s="2695"/>
      <c r="DE165" s="2695"/>
      <c r="DF165" s="2695"/>
      <c r="DG165" s="2695"/>
      <c r="DH165" s="2695"/>
      <c r="DI165" s="2695"/>
      <c r="DJ165" s="2695"/>
      <c r="DK165" s="2922"/>
      <c r="DL165" s="2908"/>
      <c r="DM165" s="2908"/>
    </row>
    <row r="166" spans="1:117">
      <c r="B166" s="1916">
        <f t="shared" si="180"/>
        <v>3</v>
      </c>
      <c r="C166" s="1928" t="str">
        <f t="shared" si="147"/>
        <v>汚染物質含有材料の使用回避</v>
      </c>
      <c r="D166" s="1924" t="e">
        <f>IF(I$145=0,0,G166/I$145)</f>
        <v>#DIV/0!</v>
      </c>
      <c r="E166" s="1925" t="e">
        <f>IF(J$145=0,0,H166/J$145)</f>
        <v>#DIV/0!</v>
      </c>
      <c r="G166" s="1925" t="e">
        <f t="shared" si="168"/>
        <v>#DIV/0!</v>
      </c>
      <c r="H166" s="1925" t="e">
        <f t="shared" si="169"/>
        <v>#DIV/0!</v>
      </c>
      <c r="I166" s="1925" t="e">
        <f>G167+G168</f>
        <v>#DIV/0!</v>
      </c>
      <c r="J166" s="1925" t="e">
        <f>H167+H168</f>
        <v>#DIV/0!</v>
      </c>
      <c r="K166" s="1925" t="e">
        <f>IF(スコア!O166=0,0,1)</f>
        <v>#DIV/0!</v>
      </c>
      <c r="L166" s="1925" t="e">
        <f>IF(スコア!R166=0,0,1)</f>
        <v>#DIV/0!</v>
      </c>
      <c r="M166" s="1925" t="e">
        <f t="shared" si="170"/>
        <v>#DIV/0!</v>
      </c>
      <c r="N166" s="1925" t="e">
        <f t="shared" si="182"/>
        <v>#DIV/0!</v>
      </c>
      <c r="P166" s="1927">
        <f t="shared" si="149"/>
        <v>3</v>
      </c>
      <c r="Q166" s="1927" t="str">
        <f t="shared" si="150"/>
        <v>LR2</v>
      </c>
      <c r="R166" s="1928" t="str">
        <f t="shared" si="151"/>
        <v>汚染物質含有材料の使用回避</v>
      </c>
      <c r="S166" s="2796">
        <f t="shared" si="133"/>
        <v>0.2</v>
      </c>
      <c r="T166" s="2796">
        <f t="shared" si="134"/>
        <v>0.2</v>
      </c>
      <c r="U166" s="2796">
        <f t="shared" si="135"/>
        <v>0.2</v>
      </c>
      <c r="V166" s="2796">
        <f t="shared" si="136"/>
        <v>0.2</v>
      </c>
      <c r="W166" s="2796">
        <f t="shared" si="137"/>
        <v>0.2</v>
      </c>
      <c r="X166" s="2796">
        <f t="shared" si="138"/>
        <v>0.2</v>
      </c>
      <c r="Y166" s="2796">
        <f t="shared" si="139"/>
        <v>0.2</v>
      </c>
      <c r="Z166" s="2810">
        <f t="shared" si="140"/>
        <v>0.2</v>
      </c>
      <c r="AA166" s="2796">
        <f t="shared" si="141"/>
        <v>0.2</v>
      </c>
      <c r="AB166" s="2796">
        <f t="shared" si="142"/>
        <v>0.2</v>
      </c>
      <c r="AC166" s="2818">
        <f t="shared" si="143"/>
        <v>0</v>
      </c>
      <c r="AD166" s="2819">
        <f t="shared" si="144"/>
        <v>0</v>
      </c>
      <c r="AE166" s="2819">
        <f t="shared" si="145"/>
        <v>0</v>
      </c>
      <c r="AG166" s="1927">
        <v>3</v>
      </c>
      <c r="AH166" s="1931" t="s">
        <v>1605</v>
      </c>
      <c r="AI166" s="1953" t="s">
        <v>1288</v>
      </c>
      <c r="AJ166" s="1932">
        <v>0.2</v>
      </c>
      <c r="AK166" s="1932">
        <v>0.2</v>
      </c>
      <c r="AL166" s="1932">
        <v>0.2</v>
      </c>
      <c r="AM166" s="1932">
        <v>0.2</v>
      </c>
      <c r="AN166" s="1932">
        <v>0.2</v>
      </c>
      <c r="AO166" s="1932">
        <v>0.2</v>
      </c>
      <c r="AP166" s="1932">
        <v>0.2</v>
      </c>
      <c r="AQ166" s="1932">
        <v>0.2</v>
      </c>
      <c r="AR166" s="1932">
        <v>0.2</v>
      </c>
      <c r="AS166" s="1932">
        <v>0.2</v>
      </c>
      <c r="AT166" s="2004">
        <v>0</v>
      </c>
      <c r="AU166" s="2005">
        <v>0</v>
      </c>
      <c r="AV166" s="2005">
        <v>0</v>
      </c>
      <c r="AX166" s="1927">
        <v>3</v>
      </c>
      <c r="AY166" s="1931" t="s">
        <v>1605</v>
      </c>
      <c r="AZ166" s="1953" t="s">
        <v>1288</v>
      </c>
      <c r="BA166" s="1932">
        <v>0.2</v>
      </c>
      <c r="BB166" s="1932">
        <v>0.2</v>
      </c>
      <c r="BC166" s="1932">
        <v>0.2</v>
      </c>
      <c r="BD166" s="1932">
        <v>0.2</v>
      </c>
      <c r="BE166" s="1932">
        <v>0.2</v>
      </c>
      <c r="BF166" s="1932">
        <v>0.2</v>
      </c>
      <c r="BG166" s="1932">
        <v>0.2</v>
      </c>
      <c r="BH166" s="1932">
        <v>0.2</v>
      </c>
      <c r="BI166" s="1932">
        <v>0.2</v>
      </c>
      <c r="BJ166" s="1932">
        <v>0.2</v>
      </c>
      <c r="BK166" s="2004"/>
      <c r="BL166" s="2005"/>
      <c r="BM166" s="2005"/>
      <c r="BO166" s="1927">
        <v>3</v>
      </c>
      <c r="BP166" s="1931" t="s">
        <v>1605</v>
      </c>
      <c r="BQ166" s="1953" t="s">
        <v>1288</v>
      </c>
      <c r="BR166" s="1932">
        <v>0.2</v>
      </c>
      <c r="BS166" s="1932">
        <v>0.2</v>
      </c>
      <c r="BT166" s="1932">
        <v>0.2</v>
      </c>
      <c r="BU166" s="1932">
        <v>0.2</v>
      </c>
      <c r="BV166" s="1932">
        <v>0.2</v>
      </c>
      <c r="BW166" s="1932">
        <v>0.2</v>
      </c>
      <c r="BX166" s="1932">
        <v>0.2</v>
      </c>
      <c r="BY166" s="1932">
        <v>0.2</v>
      </c>
      <c r="BZ166" s="1932">
        <v>0.2</v>
      </c>
      <c r="CA166" s="1932">
        <v>0.2</v>
      </c>
      <c r="CB166" s="2004"/>
      <c r="CC166" s="2005"/>
      <c r="CD166" s="2005"/>
      <c r="CE166" s="2276"/>
      <c r="CG166" s="1927">
        <v>3</v>
      </c>
      <c r="CH166" s="1931" t="s">
        <v>1605</v>
      </c>
      <c r="CI166" s="1953" t="s">
        <v>1288</v>
      </c>
      <c r="CJ166" s="2693">
        <v>0.05</v>
      </c>
      <c r="CK166" s="2693">
        <v>0.05</v>
      </c>
      <c r="CL166" s="2693">
        <v>0.05</v>
      </c>
      <c r="CM166" s="2693">
        <v>0.05</v>
      </c>
      <c r="CN166" s="2693">
        <v>0.05</v>
      </c>
      <c r="CO166" s="2693">
        <v>0.05</v>
      </c>
      <c r="CP166" s="2693">
        <v>0.05</v>
      </c>
      <c r="CQ166" s="2693">
        <v>0.05</v>
      </c>
      <c r="CR166" s="2693">
        <v>0.05</v>
      </c>
      <c r="CS166" s="2693">
        <v>0.05</v>
      </c>
      <c r="CT166" s="2729">
        <f t="shared" si="164"/>
        <v>0</v>
      </c>
      <c r="CU166" s="2730">
        <f t="shared" si="165"/>
        <v>0</v>
      </c>
      <c r="CV166" s="2730">
        <f t="shared" si="166"/>
        <v>0</v>
      </c>
      <c r="CX166" s="1927">
        <v>3</v>
      </c>
      <c r="CY166" s="1931" t="s">
        <v>1605</v>
      </c>
      <c r="CZ166" s="1953" t="s">
        <v>1288</v>
      </c>
      <c r="DA166" s="2932">
        <f t="shared" si="153"/>
        <v>0.2</v>
      </c>
      <c r="DB166" s="2693"/>
      <c r="DC166" s="2693"/>
      <c r="DD166" s="2693"/>
      <c r="DE166" s="2693"/>
      <c r="DF166" s="2693"/>
      <c r="DG166" s="2693"/>
      <c r="DH166" s="2693"/>
      <c r="DI166" s="2693"/>
      <c r="DJ166" s="2693"/>
      <c r="DK166" s="2920"/>
      <c r="DL166" s="2921"/>
      <c r="DM166" s="2921"/>
    </row>
    <row r="167" spans="1:117">
      <c r="B167" s="1916" t="str">
        <f t="shared" si="180"/>
        <v>3.1</v>
      </c>
      <c r="C167" s="1938" t="str">
        <f t="shared" si="147"/>
        <v>有害物質を含まない材料の使用</v>
      </c>
      <c r="D167" s="1935" t="e">
        <f>IF(I$166=0,0,G167/I$166)</f>
        <v>#DIV/0!</v>
      </c>
      <c r="E167" s="1936" t="e">
        <f>IF(J$166=0,0,H167/J$166)</f>
        <v>#DIV/0!</v>
      </c>
      <c r="G167" s="1936" t="e">
        <f t="shared" si="168"/>
        <v>#DIV/0!</v>
      </c>
      <c r="H167" s="1936" t="e">
        <f t="shared" si="169"/>
        <v>#DIV/0!</v>
      </c>
      <c r="I167" s="1936"/>
      <c r="J167" s="1936"/>
      <c r="K167" s="1936">
        <f>IF(スコア!O167=0,0,1)</f>
        <v>1</v>
      </c>
      <c r="L167" s="1936">
        <f>IF(スコア!R167=0,0,1)</f>
        <v>0</v>
      </c>
      <c r="M167" s="1936" t="e">
        <f t="shared" si="170"/>
        <v>#DIV/0!</v>
      </c>
      <c r="N167" s="1936" t="e">
        <f t="shared" si="182"/>
        <v>#DIV/0!</v>
      </c>
      <c r="P167" s="1937" t="str">
        <f t="shared" si="149"/>
        <v>3.1</v>
      </c>
      <c r="Q167" s="1937" t="str">
        <f t="shared" si="150"/>
        <v>LR2 3</v>
      </c>
      <c r="R167" s="1938" t="str">
        <f t="shared" si="151"/>
        <v>有害物質を含まない材料の使用</v>
      </c>
      <c r="S167" s="2799">
        <f t="shared" si="133"/>
        <v>0.3</v>
      </c>
      <c r="T167" s="2799">
        <f t="shared" si="134"/>
        <v>0.3</v>
      </c>
      <c r="U167" s="2799">
        <f t="shared" si="135"/>
        <v>0.3</v>
      </c>
      <c r="V167" s="2799">
        <f t="shared" si="136"/>
        <v>0.3</v>
      </c>
      <c r="W167" s="2799">
        <f t="shared" si="137"/>
        <v>0.3</v>
      </c>
      <c r="X167" s="2799">
        <f t="shared" si="138"/>
        <v>0.3</v>
      </c>
      <c r="Y167" s="2799">
        <f t="shared" si="139"/>
        <v>0.3</v>
      </c>
      <c r="Z167" s="2801">
        <f t="shared" si="140"/>
        <v>0.3</v>
      </c>
      <c r="AA167" s="2799">
        <f t="shared" si="141"/>
        <v>0.3</v>
      </c>
      <c r="AB167" s="2799">
        <f t="shared" si="142"/>
        <v>0.3</v>
      </c>
      <c r="AC167" s="2820">
        <f t="shared" si="143"/>
        <v>0</v>
      </c>
      <c r="AD167" s="2804">
        <f t="shared" si="144"/>
        <v>0</v>
      </c>
      <c r="AE167" s="2804">
        <f t="shared" si="145"/>
        <v>0</v>
      </c>
      <c r="AG167" s="1937" t="s">
        <v>1426</v>
      </c>
      <c r="AH167" s="1941" t="s">
        <v>178</v>
      </c>
      <c r="AI167" s="1938" t="s">
        <v>1289</v>
      </c>
      <c r="AJ167" s="1944">
        <v>0.3</v>
      </c>
      <c r="AK167" s="1944">
        <v>0.3</v>
      </c>
      <c r="AL167" s="1944">
        <v>0.3</v>
      </c>
      <c r="AM167" s="1944">
        <v>0.3</v>
      </c>
      <c r="AN167" s="1944">
        <v>0.3</v>
      </c>
      <c r="AO167" s="1944">
        <v>0.3</v>
      </c>
      <c r="AP167" s="1944">
        <v>0.3</v>
      </c>
      <c r="AQ167" s="1944">
        <v>0.3</v>
      </c>
      <c r="AR167" s="1944">
        <v>0.3</v>
      </c>
      <c r="AS167" s="1944">
        <v>0.3</v>
      </c>
      <c r="AT167" s="2006">
        <v>0</v>
      </c>
      <c r="AU167" s="1957">
        <v>0</v>
      </c>
      <c r="AV167" s="1957">
        <v>0</v>
      </c>
      <c r="AX167" s="1937" t="s">
        <v>1427</v>
      </c>
      <c r="AY167" s="1941" t="s">
        <v>178</v>
      </c>
      <c r="AZ167" s="1938" t="s">
        <v>1289</v>
      </c>
      <c r="BA167" s="1944">
        <v>0.3</v>
      </c>
      <c r="BB167" s="1944">
        <v>0.3</v>
      </c>
      <c r="BC167" s="1944">
        <v>0.3</v>
      </c>
      <c r="BD167" s="1944">
        <v>0.3</v>
      </c>
      <c r="BE167" s="1944">
        <v>0.3</v>
      </c>
      <c r="BF167" s="1944">
        <v>0.3</v>
      </c>
      <c r="BG167" s="1944">
        <v>0.3</v>
      </c>
      <c r="BH167" s="1944">
        <v>0.3</v>
      </c>
      <c r="BI167" s="1944">
        <v>0.3</v>
      </c>
      <c r="BJ167" s="1944">
        <v>0.3</v>
      </c>
      <c r="BK167" s="2006"/>
      <c r="BL167" s="1957"/>
      <c r="BM167" s="1957"/>
      <c r="BO167" s="1937" t="s">
        <v>1427</v>
      </c>
      <c r="BP167" s="1941" t="s">
        <v>178</v>
      </c>
      <c r="BQ167" s="1938" t="s">
        <v>1289</v>
      </c>
      <c r="BR167" s="1944">
        <v>0.3</v>
      </c>
      <c r="BS167" s="1944">
        <v>0.3</v>
      </c>
      <c r="BT167" s="1944">
        <v>0.3</v>
      </c>
      <c r="BU167" s="1944">
        <v>0.3</v>
      </c>
      <c r="BV167" s="1944">
        <v>0.3</v>
      </c>
      <c r="BW167" s="1944">
        <v>0.3</v>
      </c>
      <c r="BX167" s="1944">
        <v>0.3</v>
      </c>
      <c r="BY167" s="1944">
        <v>0.3</v>
      </c>
      <c r="BZ167" s="1944">
        <v>0.3</v>
      </c>
      <c r="CA167" s="1944">
        <v>0.3</v>
      </c>
      <c r="CB167" s="2006"/>
      <c r="CC167" s="1957"/>
      <c r="CD167" s="1957"/>
      <c r="CE167" s="2266"/>
      <c r="CG167" s="1937" t="s">
        <v>1405</v>
      </c>
      <c r="CH167" s="1941" t="s">
        <v>178</v>
      </c>
      <c r="CI167" s="1938" t="s">
        <v>1289</v>
      </c>
      <c r="CJ167" s="2706">
        <f t="shared" si="167"/>
        <v>0.3</v>
      </c>
      <c r="CK167" s="2706">
        <f t="shared" si="155"/>
        <v>0.3</v>
      </c>
      <c r="CL167" s="2706">
        <f t="shared" si="156"/>
        <v>0.3</v>
      </c>
      <c r="CM167" s="2706">
        <f t="shared" si="157"/>
        <v>0.3</v>
      </c>
      <c r="CN167" s="2706">
        <f t="shared" si="158"/>
        <v>0.3</v>
      </c>
      <c r="CO167" s="2706">
        <f t="shared" si="159"/>
        <v>0.3</v>
      </c>
      <c r="CP167" s="2706">
        <f t="shared" si="160"/>
        <v>0.3</v>
      </c>
      <c r="CQ167" s="2706">
        <f t="shared" si="161"/>
        <v>0.3</v>
      </c>
      <c r="CR167" s="2706">
        <f t="shared" si="162"/>
        <v>0.3</v>
      </c>
      <c r="CS167" s="2706">
        <f t="shared" si="163"/>
        <v>0.3</v>
      </c>
      <c r="CT167" s="2731">
        <f t="shared" si="164"/>
        <v>0</v>
      </c>
      <c r="CU167" s="2712">
        <f t="shared" si="165"/>
        <v>0</v>
      </c>
      <c r="CV167" s="2712">
        <f t="shared" si="166"/>
        <v>0</v>
      </c>
      <c r="CX167" s="1937" t="s">
        <v>1405</v>
      </c>
      <c r="CY167" s="1941" t="s">
        <v>178</v>
      </c>
      <c r="CZ167" s="1938" t="s">
        <v>1289</v>
      </c>
      <c r="DA167" s="2924">
        <v>0.6</v>
      </c>
      <c r="DB167" s="2695"/>
      <c r="DC167" s="2695"/>
      <c r="DD167" s="2695"/>
      <c r="DE167" s="2695"/>
      <c r="DF167" s="2695"/>
      <c r="DG167" s="2695"/>
      <c r="DH167" s="2695"/>
      <c r="DI167" s="2695"/>
      <c r="DJ167" s="2695"/>
      <c r="DK167" s="2922"/>
      <c r="DL167" s="2908"/>
      <c r="DM167" s="2908"/>
    </row>
    <row r="168" spans="1:117">
      <c r="B168" s="1916" t="str">
        <f t="shared" si="180"/>
        <v>3.2</v>
      </c>
      <c r="C168" s="1938" t="str">
        <f t="shared" si="147"/>
        <v>フロン・ハロンの回避</v>
      </c>
      <c r="D168" s="1935" t="e">
        <f>IF(I$166=0,0,G168/I$166)</f>
        <v>#DIV/0!</v>
      </c>
      <c r="E168" s="1936" t="e">
        <f>IF(J$166=0,0,H168/J$166)</f>
        <v>#DIV/0!</v>
      </c>
      <c r="G168" s="1936" t="e">
        <f t="shared" si="168"/>
        <v>#DIV/0!</v>
      </c>
      <c r="H168" s="1936" t="e">
        <f t="shared" si="169"/>
        <v>#DIV/0!</v>
      </c>
      <c r="I168" s="1936" t="e">
        <f>SUM(G169:G171)</f>
        <v>#DIV/0!</v>
      </c>
      <c r="J168" s="1936" t="e">
        <f>SUM(H169:H171)</f>
        <v>#DIV/0!</v>
      </c>
      <c r="K168" s="1936" t="e">
        <f>IF(スコア!O168=0,0,1)</f>
        <v>#DIV/0!</v>
      </c>
      <c r="L168" s="1936" t="e">
        <f>IF(スコア!R168=0,0,1)</f>
        <v>#DIV/0!</v>
      </c>
      <c r="M168" s="1936" t="e">
        <f t="shared" si="170"/>
        <v>#DIV/0!</v>
      </c>
      <c r="N168" s="1936" t="e">
        <f t="shared" si="182"/>
        <v>#DIV/0!</v>
      </c>
      <c r="P168" s="1937" t="str">
        <f t="shared" si="149"/>
        <v>3.2</v>
      </c>
      <c r="Q168" s="1937" t="str">
        <f t="shared" si="150"/>
        <v>LR2 3</v>
      </c>
      <c r="R168" s="1938" t="str">
        <f t="shared" si="151"/>
        <v>フロン・ハロンの回避</v>
      </c>
      <c r="S168" s="2799">
        <f t="shared" si="133"/>
        <v>0.7</v>
      </c>
      <c r="T168" s="2799">
        <f t="shared" si="134"/>
        <v>0.7</v>
      </c>
      <c r="U168" s="2799">
        <f t="shared" si="135"/>
        <v>0.7</v>
      </c>
      <c r="V168" s="2799">
        <f t="shared" si="136"/>
        <v>0.7</v>
      </c>
      <c r="W168" s="2799">
        <f t="shared" si="137"/>
        <v>0.7</v>
      </c>
      <c r="X168" s="2799">
        <f t="shared" si="138"/>
        <v>0.7</v>
      </c>
      <c r="Y168" s="2799">
        <f t="shared" si="139"/>
        <v>0.7</v>
      </c>
      <c r="Z168" s="2801">
        <f t="shared" si="140"/>
        <v>0.7</v>
      </c>
      <c r="AA168" s="2799">
        <f t="shared" si="141"/>
        <v>0.7</v>
      </c>
      <c r="AB168" s="2799">
        <f t="shared" si="142"/>
        <v>0.7</v>
      </c>
      <c r="AC168" s="2820">
        <f t="shared" si="143"/>
        <v>0</v>
      </c>
      <c r="AD168" s="2804">
        <f t="shared" si="144"/>
        <v>0</v>
      </c>
      <c r="AE168" s="2804">
        <f t="shared" si="145"/>
        <v>0</v>
      </c>
      <c r="AG168" s="1937" t="s">
        <v>1428</v>
      </c>
      <c r="AH168" s="1941" t="s">
        <v>178</v>
      </c>
      <c r="AI168" s="1938" t="s">
        <v>179</v>
      </c>
      <c r="AJ168" s="1944">
        <v>0.7</v>
      </c>
      <c r="AK168" s="1944">
        <v>0.7</v>
      </c>
      <c r="AL168" s="1944">
        <v>0.7</v>
      </c>
      <c r="AM168" s="1944">
        <v>0.7</v>
      </c>
      <c r="AN168" s="1944">
        <v>0.7</v>
      </c>
      <c r="AO168" s="1944">
        <v>0.7</v>
      </c>
      <c r="AP168" s="1944">
        <v>0.7</v>
      </c>
      <c r="AQ168" s="1944">
        <v>0.7</v>
      </c>
      <c r="AR168" s="1944">
        <v>0.7</v>
      </c>
      <c r="AS168" s="1944">
        <v>0.7</v>
      </c>
      <c r="AT168" s="2006">
        <v>0</v>
      </c>
      <c r="AU168" s="1957">
        <v>0</v>
      </c>
      <c r="AV168" s="1957">
        <v>0</v>
      </c>
      <c r="AX168" s="1937" t="s">
        <v>1428</v>
      </c>
      <c r="AY168" s="1941" t="s">
        <v>178</v>
      </c>
      <c r="AZ168" s="1938" t="s">
        <v>179</v>
      </c>
      <c r="BA168" s="1944">
        <v>0.7</v>
      </c>
      <c r="BB168" s="1944">
        <v>0.7</v>
      </c>
      <c r="BC168" s="1944">
        <v>0.7</v>
      </c>
      <c r="BD168" s="1944">
        <v>0.7</v>
      </c>
      <c r="BE168" s="1944">
        <v>0.7</v>
      </c>
      <c r="BF168" s="1944">
        <v>0.7</v>
      </c>
      <c r="BG168" s="1944">
        <v>0.7</v>
      </c>
      <c r="BH168" s="1944">
        <v>0.7</v>
      </c>
      <c r="BI168" s="1944">
        <v>0.7</v>
      </c>
      <c r="BJ168" s="1944">
        <v>0.7</v>
      </c>
      <c r="BK168" s="2006"/>
      <c r="BL168" s="1957"/>
      <c r="BM168" s="1957"/>
      <c r="BO168" s="1937" t="s">
        <v>1428</v>
      </c>
      <c r="BP168" s="1941" t="s">
        <v>178</v>
      </c>
      <c r="BQ168" s="1938" t="s">
        <v>179</v>
      </c>
      <c r="BR168" s="1944">
        <v>0.7</v>
      </c>
      <c r="BS168" s="1944">
        <v>0.7</v>
      </c>
      <c r="BT168" s="1944">
        <v>0.7</v>
      </c>
      <c r="BU168" s="1944">
        <v>0.7</v>
      </c>
      <c r="BV168" s="1944">
        <v>0.7</v>
      </c>
      <c r="BW168" s="1944">
        <v>0.7</v>
      </c>
      <c r="BX168" s="1944">
        <v>0.7</v>
      </c>
      <c r="BY168" s="1944">
        <v>0.7</v>
      </c>
      <c r="BZ168" s="1944">
        <v>0.7</v>
      </c>
      <c r="CA168" s="1944">
        <v>0.7</v>
      </c>
      <c r="CB168" s="2006"/>
      <c r="CC168" s="1957"/>
      <c r="CD168" s="1957"/>
      <c r="CE168" s="2266"/>
      <c r="CG168" s="1937" t="s">
        <v>1407</v>
      </c>
      <c r="CH168" s="1941" t="s">
        <v>178</v>
      </c>
      <c r="CI168" s="1938" t="s">
        <v>179</v>
      </c>
      <c r="CJ168" s="2706">
        <f t="shared" si="167"/>
        <v>0.7</v>
      </c>
      <c r="CK168" s="2706">
        <f t="shared" si="155"/>
        <v>0.7</v>
      </c>
      <c r="CL168" s="2706">
        <f t="shared" si="156"/>
        <v>0.7</v>
      </c>
      <c r="CM168" s="2706">
        <f t="shared" si="157"/>
        <v>0.7</v>
      </c>
      <c r="CN168" s="2706">
        <f t="shared" si="158"/>
        <v>0.7</v>
      </c>
      <c r="CO168" s="2706">
        <f t="shared" si="159"/>
        <v>0.7</v>
      </c>
      <c r="CP168" s="2706">
        <f t="shared" si="160"/>
        <v>0.7</v>
      </c>
      <c r="CQ168" s="2706">
        <f t="shared" si="161"/>
        <v>0.7</v>
      </c>
      <c r="CR168" s="2706">
        <f t="shared" si="162"/>
        <v>0.7</v>
      </c>
      <c r="CS168" s="2706">
        <f t="shared" si="163"/>
        <v>0.7</v>
      </c>
      <c r="CT168" s="2731">
        <f t="shared" si="164"/>
        <v>0</v>
      </c>
      <c r="CU168" s="2712">
        <f t="shared" si="165"/>
        <v>0</v>
      </c>
      <c r="CV168" s="2712">
        <f t="shared" si="166"/>
        <v>0</v>
      </c>
      <c r="CX168" s="1937" t="s">
        <v>1407</v>
      </c>
      <c r="CY168" s="1941" t="s">
        <v>178</v>
      </c>
      <c r="CZ168" s="1938" t="s">
        <v>179</v>
      </c>
      <c r="DA168" s="2924">
        <v>0.4</v>
      </c>
      <c r="DB168" s="2695"/>
      <c r="DC168" s="2695"/>
      <c r="DD168" s="2695"/>
      <c r="DE168" s="2695"/>
      <c r="DF168" s="2695"/>
      <c r="DG168" s="2695"/>
      <c r="DH168" s="2695"/>
      <c r="DI168" s="2695"/>
      <c r="DJ168" s="2695"/>
      <c r="DK168" s="2922"/>
      <c r="DL168" s="2908"/>
      <c r="DM168" s="2908"/>
    </row>
    <row r="169" spans="1:117">
      <c r="B169" s="1916" t="str">
        <f t="shared" si="180"/>
        <v>3.2.1</v>
      </c>
      <c r="C169" s="1938" t="str">
        <f t="shared" si="147"/>
        <v>消火剤</v>
      </c>
      <c r="D169" s="1926" t="e">
        <f>IF(I$168&gt;0,G169/I$168,0)</f>
        <v>#DIV/0!</v>
      </c>
      <c r="E169" s="1936" t="e">
        <f t="shared" ref="D169:E171" si="189">IF(J$168&gt;0,H169/J$168,0)</f>
        <v>#DIV/0!</v>
      </c>
      <c r="G169" s="1936" t="e">
        <f t="shared" si="168"/>
        <v>#DIV/0!</v>
      </c>
      <c r="H169" s="1936" t="e">
        <f t="shared" si="169"/>
        <v>#DIV/0!</v>
      </c>
      <c r="I169" s="1936"/>
      <c r="J169" s="1936"/>
      <c r="K169" s="1936">
        <f>IF(スコア!O169=0,0,1)</f>
        <v>1</v>
      </c>
      <c r="L169" s="1936">
        <f>IF(スコア!R169=0,0,1)</f>
        <v>0</v>
      </c>
      <c r="M169" s="1936" t="e">
        <f t="shared" si="170"/>
        <v>#DIV/0!</v>
      </c>
      <c r="N169" s="1936" t="e">
        <f t="shared" si="182"/>
        <v>#DIV/0!</v>
      </c>
      <c r="P169" s="1937" t="str">
        <f t="shared" si="149"/>
        <v>3.2.1</v>
      </c>
      <c r="Q169" s="1937" t="str">
        <f t="shared" si="150"/>
        <v>LR2 3.2</v>
      </c>
      <c r="R169" s="1938" t="str">
        <f t="shared" si="151"/>
        <v>消火剤</v>
      </c>
      <c r="S169" s="2799">
        <f t="shared" si="133"/>
        <v>0.33333333333333331</v>
      </c>
      <c r="T169" s="2799">
        <f t="shared" si="134"/>
        <v>0.33333333333333331</v>
      </c>
      <c r="U169" s="2799">
        <f t="shared" si="135"/>
        <v>0.33333333333333331</v>
      </c>
      <c r="V169" s="2799">
        <f t="shared" si="136"/>
        <v>0.33333333333333331</v>
      </c>
      <c r="W169" s="2799">
        <f t="shared" si="137"/>
        <v>0.33333333333333331</v>
      </c>
      <c r="X169" s="2799">
        <f t="shared" si="138"/>
        <v>0.33333333333333331</v>
      </c>
      <c r="Y169" s="2799">
        <f t="shared" si="139"/>
        <v>0.33333333333333331</v>
      </c>
      <c r="Z169" s="2801">
        <f t="shared" si="140"/>
        <v>0.33333333333333331</v>
      </c>
      <c r="AA169" s="2799">
        <f t="shared" si="141"/>
        <v>0.33333333333333331</v>
      </c>
      <c r="AB169" s="2799">
        <f t="shared" si="142"/>
        <v>0.33333333333333331</v>
      </c>
      <c r="AC169" s="2820">
        <f t="shared" si="143"/>
        <v>0</v>
      </c>
      <c r="AD169" s="2804">
        <f t="shared" si="144"/>
        <v>0</v>
      </c>
      <c r="AE169" s="2804">
        <f t="shared" si="145"/>
        <v>0</v>
      </c>
      <c r="AG169" s="1937" t="s">
        <v>1429</v>
      </c>
      <c r="AH169" s="1941" t="s">
        <v>2506</v>
      </c>
      <c r="AI169" s="1942" t="s">
        <v>1430</v>
      </c>
      <c r="AJ169" s="1944">
        <v>0.33333333333333331</v>
      </c>
      <c r="AK169" s="1944">
        <v>0.33333333333333331</v>
      </c>
      <c r="AL169" s="1944">
        <v>0.33333333333333331</v>
      </c>
      <c r="AM169" s="1944">
        <v>0.33333333333333331</v>
      </c>
      <c r="AN169" s="1944">
        <v>0.33333333333333331</v>
      </c>
      <c r="AO169" s="1944">
        <v>0.33333333333333331</v>
      </c>
      <c r="AP169" s="1944">
        <v>0.33333333333333331</v>
      </c>
      <c r="AQ169" s="1944">
        <v>0.33333333333333331</v>
      </c>
      <c r="AR169" s="1944">
        <v>0.33333333333333331</v>
      </c>
      <c r="AS169" s="1944">
        <v>0.33333333333333331</v>
      </c>
      <c r="AT169" s="2006">
        <v>0</v>
      </c>
      <c r="AU169" s="1957">
        <v>0</v>
      </c>
      <c r="AV169" s="1957">
        <v>0</v>
      </c>
      <c r="AX169" s="1937" t="s">
        <v>1429</v>
      </c>
      <c r="AY169" s="1941" t="s">
        <v>2506</v>
      </c>
      <c r="AZ169" s="1942" t="s">
        <v>1430</v>
      </c>
      <c r="BA169" s="1944">
        <v>0.33333333333333331</v>
      </c>
      <c r="BB169" s="1944">
        <v>0.33333333333333331</v>
      </c>
      <c r="BC169" s="1944">
        <v>0.33333333333333331</v>
      </c>
      <c r="BD169" s="1944">
        <v>0.33333333333333331</v>
      </c>
      <c r="BE169" s="1944">
        <v>0.33333333333333331</v>
      </c>
      <c r="BF169" s="1944">
        <v>0.33333333333333331</v>
      </c>
      <c r="BG169" s="1944">
        <v>0.33333333333333331</v>
      </c>
      <c r="BH169" s="1944">
        <v>0.33333333333333331</v>
      </c>
      <c r="BI169" s="1944">
        <v>0.33333333333333331</v>
      </c>
      <c r="BJ169" s="1944">
        <v>0.33333333333333331</v>
      </c>
      <c r="BK169" s="2006"/>
      <c r="BL169" s="1957"/>
      <c r="BM169" s="1957"/>
      <c r="BO169" s="1937" t="s">
        <v>1429</v>
      </c>
      <c r="BP169" s="1941" t="s">
        <v>2506</v>
      </c>
      <c r="BQ169" s="1942" t="s">
        <v>1430</v>
      </c>
      <c r="BR169" s="1944">
        <v>0.33333333333333331</v>
      </c>
      <c r="BS169" s="1944">
        <v>0.33333333333333331</v>
      </c>
      <c r="BT169" s="1944">
        <v>0.33333333333333331</v>
      </c>
      <c r="BU169" s="1944">
        <v>0.33333333333333331</v>
      </c>
      <c r="BV169" s="1944">
        <v>0.33333333333333331</v>
      </c>
      <c r="BW169" s="1944">
        <v>0.33333333333333331</v>
      </c>
      <c r="BX169" s="1944">
        <v>0.33333333333333331</v>
      </c>
      <c r="BY169" s="1944">
        <v>0.33333333333333331</v>
      </c>
      <c r="BZ169" s="1944">
        <v>0.33333333333333331</v>
      </c>
      <c r="CA169" s="1944">
        <v>0.33333333333333331</v>
      </c>
      <c r="CB169" s="2006"/>
      <c r="CC169" s="1957"/>
      <c r="CD169" s="1957"/>
      <c r="CE169" s="2266"/>
      <c r="CG169" s="1937" t="s">
        <v>1143</v>
      </c>
      <c r="CH169" s="1941" t="s">
        <v>2506</v>
      </c>
      <c r="CI169" s="1942" t="s">
        <v>1430</v>
      </c>
      <c r="CJ169" s="2706">
        <f t="shared" si="167"/>
        <v>0.33333333333333331</v>
      </c>
      <c r="CK169" s="2706">
        <f t="shared" si="155"/>
        <v>0.33333333333333331</v>
      </c>
      <c r="CL169" s="2706">
        <f t="shared" si="156"/>
        <v>0.33333333333333331</v>
      </c>
      <c r="CM169" s="2706">
        <f t="shared" si="157"/>
        <v>0.33333333333333331</v>
      </c>
      <c r="CN169" s="2706">
        <f t="shared" si="158"/>
        <v>0.33333333333333331</v>
      </c>
      <c r="CO169" s="2706">
        <f t="shared" si="159"/>
        <v>0.33333333333333331</v>
      </c>
      <c r="CP169" s="2706">
        <f t="shared" si="160"/>
        <v>0.33333333333333331</v>
      </c>
      <c r="CQ169" s="2706">
        <f t="shared" si="161"/>
        <v>0.33333333333333331</v>
      </c>
      <c r="CR169" s="2706">
        <f t="shared" si="162"/>
        <v>0.33333333333333331</v>
      </c>
      <c r="CS169" s="2706">
        <f t="shared" si="163"/>
        <v>0.33333333333333331</v>
      </c>
      <c r="CT169" s="2731">
        <f t="shared" si="164"/>
        <v>0</v>
      </c>
      <c r="CU169" s="2712">
        <f t="shared" si="165"/>
        <v>0</v>
      </c>
      <c r="CV169" s="2712">
        <f t="shared" si="166"/>
        <v>0</v>
      </c>
      <c r="CX169" s="1937" t="s">
        <v>1143</v>
      </c>
      <c r="CY169" s="1941" t="s">
        <v>2506</v>
      </c>
      <c r="CZ169" s="1942" t="s">
        <v>1430</v>
      </c>
      <c r="DA169" s="2924">
        <v>0</v>
      </c>
      <c r="DB169" s="2695"/>
      <c r="DC169" s="2695"/>
      <c r="DD169" s="2695"/>
      <c r="DE169" s="2695"/>
      <c r="DF169" s="2695"/>
      <c r="DG169" s="2695"/>
      <c r="DH169" s="2695"/>
      <c r="DI169" s="2695"/>
      <c r="DJ169" s="2695"/>
      <c r="DK169" s="2922"/>
      <c r="DL169" s="2908"/>
      <c r="DM169" s="2908"/>
    </row>
    <row r="170" spans="1:117">
      <c r="B170" s="1916" t="str">
        <f t="shared" si="180"/>
        <v>3.2.2</v>
      </c>
      <c r="C170" s="1938" t="str">
        <f t="shared" si="147"/>
        <v>発泡剤（断熱材等）</v>
      </c>
      <c r="D170" s="1926" t="e">
        <f t="shared" si="189"/>
        <v>#DIV/0!</v>
      </c>
      <c r="E170" s="1936" t="e">
        <f t="shared" si="189"/>
        <v>#DIV/0!</v>
      </c>
      <c r="G170" s="1936" t="e">
        <f t="shared" si="168"/>
        <v>#DIV/0!</v>
      </c>
      <c r="H170" s="1936" t="e">
        <f t="shared" si="169"/>
        <v>#DIV/0!</v>
      </c>
      <c r="I170" s="1936"/>
      <c r="J170" s="1936"/>
      <c r="K170" s="1936">
        <f>IF(スコア!O170=0,0,1)</f>
        <v>1</v>
      </c>
      <c r="L170" s="1936">
        <f>IF(スコア!R170=0,0,1)</f>
        <v>0</v>
      </c>
      <c r="M170" s="1936" t="e">
        <f t="shared" si="170"/>
        <v>#DIV/0!</v>
      </c>
      <c r="N170" s="1936" t="e">
        <f t="shared" si="182"/>
        <v>#DIV/0!</v>
      </c>
      <c r="P170" s="1937" t="str">
        <f t="shared" si="149"/>
        <v>3.2.2</v>
      </c>
      <c r="Q170" s="1937" t="str">
        <f t="shared" si="150"/>
        <v>LR2 3.2</v>
      </c>
      <c r="R170" s="1938" t="str">
        <f t="shared" si="151"/>
        <v>発泡剤（断熱材等）</v>
      </c>
      <c r="S170" s="2799">
        <f t="shared" si="133"/>
        <v>0.33333333333333331</v>
      </c>
      <c r="T170" s="2799">
        <f t="shared" si="134"/>
        <v>0.33333333333333331</v>
      </c>
      <c r="U170" s="2799">
        <f t="shared" si="135"/>
        <v>0.33333333333333331</v>
      </c>
      <c r="V170" s="2799">
        <f t="shared" si="136"/>
        <v>0.33333333333333331</v>
      </c>
      <c r="W170" s="2799">
        <f t="shared" si="137"/>
        <v>0.33333333333333331</v>
      </c>
      <c r="X170" s="2799">
        <f t="shared" si="138"/>
        <v>0.33333333333333331</v>
      </c>
      <c r="Y170" s="2799">
        <f t="shared" si="139"/>
        <v>0.33333333333333331</v>
      </c>
      <c r="Z170" s="2801">
        <f t="shared" si="140"/>
        <v>0.33333333333333331</v>
      </c>
      <c r="AA170" s="2799">
        <f t="shared" si="141"/>
        <v>0.33333333333333331</v>
      </c>
      <c r="AB170" s="2799">
        <f t="shared" si="142"/>
        <v>0.33333333333333331</v>
      </c>
      <c r="AC170" s="2820">
        <f t="shared" si="143"/>
        <v>0</v>
      </c>
      <c r="AD170" s="2804">
        <f t="shared" si="144"/>
        <v>0</v>
      </c>
      <c r="AE170" s="2804">
        <f t="shared" si="145"/>
        <v>0</v>
      </c>
      <c r="AG170" s="1937" t="s">
        <v>1431</v>
      </c>
      <c r="AH170" s="1941" t="s">
        <v>2506</v>
      </c>
      <c r="AI170" s="1942" t="s">
        <v>2507</v>
      </c>
      <c r="AJ170" s="1944">
        <v>0.33333333333333331</v>
      </c>
      <c r="AK170" s="1944">
        <v>0.33333333333333331</v>
      </c>
      <c r="AL170" s="1944">
        <v>0.33333333333333331</v>
      </c>
      <c r="AM170" s="1944">
        <v>0.33333333333333331</v>
      </c>
      <c r="AN170" s="1944">
        <v>0.33333333333333331</v>
      </c>
      <c r="AO170" s="1944">
        <v>0.33333333333333331</v>
      </c>
      <c r="AP170" s="1944">
        <v>0.33333333333333331</v>
      </c>
      <c r="AQ170" s="1944">
        <v>0.33333333333333331</v>
      </c>
      <c r="AR170" s="1944">
        <v>0.33333333333333331</v>
      </c>
      <c r="AS170" s="1944">
        <v>0.33333333333333331</v>
      </c>
      <c r="AT170" s="2006">
        <v>0</v>
      </c>
      <c r="AU170" s="1957">
        <v>0</v>
      </c>
      <c r="AV170" s="1957">
        <v>0</v>
      </c>
      <c r="AX170" s="1937" t="s">
        <v>1431</v>
      </c>
      <c r="AY170" s="1941" t="s">
        <v>2506</v>
      </c>
      <c r="AZ170" s="1942" t="s">
        <v>2507</v>
      </c>
      <c r="BA170" s="1944">
        <v>0.33333333333333331</v>
      </c>
      <c r="BB170" s="1944">
        <v>0.33333333333333331</v>
      </c>
      <c r="BC170" s="1944">
        <v>0.33333333333333331</v>
      </c>
      <c r="BD170" s="1944">
        <v>0.33333333333333331</v>
      </c>
      <c r="BE170" s="1944">
        <v>0.33333333333333331</v>
      </c>
      <c r="BF170" s="1944">
        <v>0.33333333333333331</v>
      </c>
      <c r="BG170" s="1944">
        <v>0.33333333333333331</v>
      </c>
      <c r="BH170" s="1944">
        <v>0.33333333333333331</v>
      </c>
      <c r="BI170" s="1944">
        <v>0.33333333333333331</v>
      </c>
      <c r="BJ170" s="1944">
        <v>0.33333333333333331</v>
      </c>
      <c r="BK170" s="2006"/>
      <c r="BL170" s="1957"/>
      <c r="BM170" s="1957"/>
      <c r="BO170" s="1937" t="s">
        <v>1431</v>
      </c>
      <c r="BP170" s="1941" t="s">
        <v>2506</v>
      </c>
      <c r="BQ170" s="1942" t="s">
        <v>1432</v>
      </c>
      <c r="BR170" s="1944">
        <v>0.33333333333333331</v>
      </c>
      <c r="BS170" s="1944">
        <v>0.33333333333333331</v>
      </c>
      <c r="BT170" s="1944">
        <v>0.33333333333333331</v>
      </c>
      <c r="BU170" s="1944">
        <v>0.33333333333333331</v>
      </c>
      <c r="BV170" s="1944">
        <v>0.33333333333333331</v>
      </c>
      <c r="BW170" s="1944">
        <v>0.33333333333333331</v>
      </c>
      <c r="BX170" s="1944">
        <v>0.33333333333333331</v>
      </c>
      <c r="BY170" s="1944">
        <v>0.33333333333333331</v>
      </c>
      <c r="BZ170" s="1944">
        <v>0.33333333333333331</v>
      </c>
      <c r="CA170" s="1944">
        <v>0.33333333333333331</v>
      </c>
      <c r="CB170" s="2006"/>
      <c r="CC170" s="1957"/>
      <c r="CD170" s="1957"/>
      <c r="CE170" s="2266"/>
      <c r="CG170" s="1937" t="s">
        <v>1144</v>
      </c>
      <c r="CH170" s="1941" t="s">
        <v>2506</v>
      </c>
      <c r="CI170" s="1942" t="s">
        <v>1432</v>
      </c>
      <c r="CJ170" s="2706">
        <f t="shared" si="167"/>
        <v>0.33333333333333331</v>
      </c>
      <c r="CK170" s="2706">
        <f t="shared" si="155"/>
        <v>0.33333333333333331</v>
      </c>
      <c r="CL170" s="2706">
        <f t="shared" si="156"/>
        <v>0.33333333333333331</v>
      </c>
      <c r="CM170" s="2706">
        <f t="shared" si="157"/>
        <v>0.33333333333333331</v>
      </c>
      <c r="CN170" s="2706">
        <f t="shared" si="158"/>
        <v>0.33333333333333331</v>
      </c>
      <c r="CO170" s="2706">
        <f t="shared" si="159"/>
        <v>0.33333333333333331</v>
      </c>
      <c r="CP170" s="2706">
        <f t="shared" si="160"/>
        <v>0.33333333333333331</v>
      </c>
      <c r="CQ170" s="2706">
        <f t="shared" si="161"/>
        <v>0.33333333333333331</v>
      </c>
      <c r="CR170" s="2706">
        <f t="shared" si="162"/>
        <v>0.33333333333333331</v>
      </c>
      <c r="CS170" s="2706">
        <f t="shared" si="163"/>
        <v>0.33333333333333331</v>
      </c>
      <c r="CT170" s="2731">
        <f t="shared" si="164"/>
        <v>0</v>
      </c>
      <c r="CU170" s="2712">
        <f t="shared" si="165"/>
        <v>0</v>
      </c>
      <c r="CV170" s="2712">
        <f t="shared" si="166"/>
        <v>0</v>
      </c>
      <c r="CX170" s="1937" t="s">
        <v>1144</v>
      </c>
      <c r="CY170" s="1941" t="s">
        <v>2506</v>
      </c>
      <c r="CZ170" s="1942" t="s">
        <v>1432</v>
      </c>
      <c r="DA170" s="2924">
        <v>0</v>
      </c>
      <c r="DB170" s="2695"/>
      <c r="DC170" s="2695"/>
      <c r="DD170" s="2695"/>
      <c r="DE170" s="2695"/>
      <c r="DF170" s="2695"/>
      <c r="DG170" s="2695"/>
      <c r="DH170" s="2695"/>
      <c r="DI170" s="2695"/>
      <c r="DJ170" s="2695"/>
      <c r="DK170" s="2922"/>
      <c r="DL170" s="2908"/>
      <c r="DM170" s="2908"/>
    </row>
    <row r="171" spans="1:117">
      <c r="B171" s="1916" t="str">
        <f t="shared" si="180"/>
        <v>3.2.3</v>
      </c>
      <c r="C171" s="1938" t="str">
        <f t="shared" si="147"/>
        <v>冷媒</v>
      </c>
      <c r="D171" s="1926" t="e">
        <f>IF(I$168&gt;0,G171/I$168,0)</f>
        <v>#DIV/0!</v>
      </c>
      <c r="E171" s="1936" t="e">
        <f t="shared" si="189"/>
        <v>#DIV/0!</v>
      </c>
      <c r="G171" s="1936" t="e">
        <f t="shared" si="168"/>
        <v>#DIV/0!</v>
      </c>
      <c r="H171" s="1936" t="e">
        <f t="shared" si="169"/>
        <v>#DIV/0!</v>
      </c>
      <c r="I171" s="1936"/>
      <c r="J171" s="1936"/>
      <c r="K171" s="1936">
        <f>IF(スコア!O171=0,0,1)</f>
        <v>1</v>
      </c>
      <c r="L171" s="1936">
        <f>IF(スコア!R171=0,0,1)</f>
        <v>0</v>
      </c>
      <c r="M171" s="1936" t="e">
        <f t="shared" si="170"/>
        <v>#DIV/0!</v>
      </c>
      <c r="N171" s="1936" t="e">
        <f t="shared" si="182"/>
        <v>#DIV/0!</v>
      </c>
      <c r="P171" s="1937" t="str">
        <f t="shared" si="149"/>
        <v>3.2.3</v>
      </c>
      <c r="Q171" s="1937" t="str">
        <f t="shared" si="150"/>
        <v>LR2 3.2</v>
      </c>
      <c r="R171" s="1938" t="str">
        <f t="shared" si="151"/>
        <v>冷媒</v>
      </c>
      <c r="S171" s="2799">
        <f t="shared" si="133"/>
        <v>0.33333333333333331</v>
      </c>
      <c r="T171" s="2799">
        <f t="shared" si="134"/>
        <v>0.33333333333333331</v>
      </c>
      <c r="U171" s="2799">
        <f t="shared" si="135"/>
        <v>0.33333333333333331</v>
      </c>
      <c r="V171" s="2799">
        <f t="shared" si="136"/>
        <v>0.33333333333333331</v>
      </c>
      <c r="W171" s="2799">
        <f t="shared" si="137"/>
        <v>0.33333333333333331</v>
      </c>
      <c r="X171" s="2799">
        <f t="shared" si="138"/>
        <v>0.33333333333333331</v>
      </c>
      <c r="Y171" s="2799">
        <f t="shared" si="139"/>
        <v>0.33333333333333331</v>
      </c>
      <c r="Z171" s="2801">
        <f t="shared" si="140"/>
        <v>0.33333333333333331</v>
      </c>
      <c r="AA171" s="2799">
        <f t="shared" si="141"/>
        <v>0.33333333333333331</v>
      </c>
      <c r="AB171" s="2799">
        <f t="shared" si="142"/>
        <v>0.33333333333333331</v>
      </c>
      <c r="AC171" s="2820">
        <f t="shared" si="143"/>
        <v>0</v>
      </c>
      <c r="AD171" s="2804">
        <f t="shared" si="144"/>
        <v>0</v>
      </c>
      <c r="AE171" s="2804">
        <f t="shared" si="145"/>
        <v>0</v>
      </c>
      <c r="AG171" s="1937" t="s">
        <v>1701</v>
      </c>
      <c r="AH171" s="1941" t="s">
        <v>2506</v>
      </c>
      <c r="AI171" s="1942" t="s">
        <v>2508</v>
      </c>
      <c r="AJ171" s="1944">
        <v>0.33333333333333331</v>
      </c>
      <c r="AK171" s="1944">
        <v>0.33333333333333331</v>
      </c>
      <c r="AL171" s="1944">
        <v>0.33333333333333331</v>
      </c>
      <c r="AM171" s="1944">
        <v>0.33333333333333331</v>
      </c>
      <c r="AN171" s="1944">
        <v>0.33333333333333331</v>
      </c>
      <c r="AO171" s="1944">
        <v>0.33333333333333331</v>
      </c>
      <c r="AP171" s="1944">
        <v>0.33333333333333331</v>
      </c>
      <c r="AQ171" s="1944">
        <v>0.33333333333333331</v>
      </c>
      <c r="AR171" s="1944">
        <v>0.33333333333333331</v>
      </c>
      <c r="AS171" s="1944">
        <v>0.33333333333333331</v>
      </c>
      <c r="AT171" s="2006">
        <v>0</v>
      </c>
      <c r="AU171" s="1957">
        <v>0</v>
      </c>
      <c r="AV171" s="1957">
        <v>0</v>
      </c>
      <c r="AX171" s="1937" t="s">
        <v>1701</v>
      </c>
      <c r="AY171" s="1941" t="s">
        <v>2506</v>
      </c>
      <c r="AZ171" s="1942" t="s">
        <v>2508</v>
      </c>
      <c r="BA171" s="1944">
        <v>0.33333333333333331</v>
      </c>
      <c r="BB171" s="1944">
        <v>0.33333333333333331</v>
      </c>
      <c r="BC171" s="1944">
        <v>0.33333333333333331</v>
      </c>
      <c r="BD171" s="1944">
        <v>0.33333333333333331</v>
      </c>
      <c r="BE171" s="1944">
        <v>0.33333333333333331</v>
      </c>
      <c r="BF171" s="1944">
        <v>0.33333333333333331</v>
      </c>
      <c r="BG171" s="1944">
        <v>0.33333333333333331</v>
      </c>
      <c r="BH171" s="1944">
        <v>0.33333333333333331</v>
      </c>
      <c r="BI171" s="1944">
        <v>0.33333333333333331</v>
      </c>
      <c r="BJ171" s="1944">
        <v>0.33333333333333331</v>
      </c>
      <c r="BK171" s="2006"/>
      <c r="BL171" s="1957"/>
      <c r="BM171" s="1957"/>
      <c r="BO171" s="1937" t="s">
        <v>1701</v>
      </c>
      <c r="BP171" s="1941" t="s">
        <v>2506</v>
      </c>
      <c r="BQ171" s="1942" t="s">
        <v>2508</v>
      </c>
      <c r="BR171" s="1944">
        <v>0.33333333333333331</v>
      </c>
      <c r="BS171" s="1944">
        <v>0.33333333333333331</v>
      </c>
      <c r="BT171" s="1944">
        <v>0.33333333333333331</v>
      </c>
      <c r="BU171" s="1944">
        <v>0.33333333333333331</v>
      </c>
      <c r="BV171" s="1944">
        <v>0.33333333333333331</v>
      </c>
      <c r="BW171" s="1944">
        <v>0.33333333333333331</v>
      </c>
      <c r="BX171" s="1944">
        <v>0.33333333333333331</v>
      </c>
      <c r="BY171" s="1944">
        <v>0.33333333333333331</v>
      </c>
      <c r="BZ171" s="1944">
        <v>0.33333333333333331</v>
      </c>
      <c r="CA171" s="1944">
        <v>0.33333333333333331</v>
      </c>
      <c r="CB171" s="2006"/>
      <c r="CC171" s="1957"/>
      <c r="CD171" s="1957"/>
      <c r="CE171" s="2266"/>
      <c r="CG171" s="1937" t="s">
        <v>1145</v>
      </c>
      <c r="CH171" s="1941" t="s">
        <v>2506</v>
      </c>
      <c r="CI171" s="1942" t="s">
        <v>2508</v>
      </c>
      <c r="CJ171" s="2706">
        <f t="shared" si="167"/>
        <v>0.33333333333333331</v>
      </c>
      <c r="CK171" s="2706">
        <f t="shared" si="155"/>
        <v>0.33333333333333331</v>
      </c>
      <c r="CL171" s="2706">
        <f t="shared" si="156"/>
        <v>0.33333333333333331</v>
      </c>
      <c r="CM171" s="2706">
        <f t="shared" si="157"/>
        <v>0.33333333333333331</v>
      </c>
      <c r="CN171" s="2706">
        <f t="shared" si="158"/>
        <v>0.33333333333333331</v>
      </c>
      <c r="CO171" s="2706">
        <f t="shared" si="159"/>
        <v>0.33333333333333331</v>
      </c>
      <c r="CP171" s="2706">
        <f t="shared" si="160"/>
        <v>0.33333333333333331</v>
      </c>
      <c r="CQ171" s="2706">
        <f t="shared" si="161"/>
        <v>0.33333333333333331</v>
      </c>
      <c r="CR171" s="2706">
        <f t="shared" si="162"/>
        <v>0.33333333333333331</v>
      </c>
      <c r="CS171" s="2706">
        <f t="shared" si="163"/>
        <v>0.33333333333333331</v>
      </c>
      <c r="CT171" s="2731">
        <f t="shared" si="164"/>
        <v>0</v>
      </c>
      <c r="CU171" s="2712">
        <f t="shared" si="165"/>
        <v>0</v>
      </c>
      <c r="CV171" s="2712">
        <f t="shared" si="166"/>
        <v>0</v>
      </c>
      <c r="CX171" s="1937" t="s">
        <v>1145</v>
      </c>
      <c r="CY171" s="1941" t="s">
        <v>2506</v>
      </c>
      <c r="CZ171" s="1942" t="s">
        <v>2508</v>
      </c>
      <c r="DA171" s="2924">
        <v>1</v>
      </c>
      <c r="DB171" s="2695"/>
      <c r="DC171" s="2695"/>
      <c r="DD171" s="2695"/>
      <c r="DE171" s="2695"/>
      <c r="DF171" s="2695"/>
      <c r="DG171" s="2695"/>
      <c r="DH171" s="2695"/>
      <c r="DI171" s="2695"/>
      <c r="DJ171" s="2695"/>
      <c r="DK171" s="2922"/>
      <c r="DL171" s="2908"/>
      <c r="DM171" s="2908"/>
    </row>
    <row r="172" spans="1:117">
      <c r="B172" s="1916" t="str">
        <f t="shared" si="180"/>
        <v>LR3</v>
      </c>
      <c r="C172" s="1919" t="str">
        <f t="shared" si="147"/>
        <v>敷地外環境</v>
      </c>
      <c r="D172" s="1994" t="e">
        <f>IF(I$121=0,0,G172/I$121)</f>
        <v>#DIV/0!</v>
      </c>
      <c r="E172" s="1918" t="e">
        <f>IF(J$121=0,0,H172/J$121)</f>
        <v>#DIV/0!</v>
      </c>
      <c r="G172" s="1918" t="e">
        <f t="shared" si="168"/>
        <v>#DIV/0!</v>
      </c>
      <c r="H172" s="1918" t="e">
        <f t="shared" si="169"/>
        <v>#DIV/0!</v>
      </c>
      <c r="I172" s="1918" t="e">
        <f>G173+G174+G183</f>
        <v>#DIV/0!</v>
      </c>
      <c r="J172" s="1918" t="e">
        <f>H173+H174+H183</f>
        <v>#DIV/0!</v>
      </c>
      <c r="K172" s="1918" t="e">
        <f>IF(スコア!T172=0,0,1)</f>
        <v>#DIV/0!</v>
      </c>
      <c r="L172" s="1918">
        <f>IF(スコア!R172=0,0,1)</f>
        <v>0</v>
      </c>
      <c r="M172" s="1918" t="e">
        <f t="shared" si="170"/>
        <v>#DIV/0!</v>
      </c>
      <c r="N172" s="1918" t="e">
        <f t="shared" si="182"/>
        <v>#DIV/0!</v>
      </c>
      <c r="P172" s="1999" t="str">
        <f t="shared" si="149"/>
        <v>LR3</v>
      </c>
      <c r="Q172" s="1999" t="str">
        <f t="shared" si="150"/>
        <v>LR</v>
      </c>
      <c r="R172" s="1919" t="str">
        <f t="shared" si="151"/>
        <v>敷地外環境</v>
      </c>
      <c r="S172" s="2793">
        <f t="shared" si="133"/>
        <v>0.3</v>
      </c>
      <c r="T172" s="2793">
        <f t="shared" si="134"/>
        <v>0.3</v>
      </c>
      <c r="U172" s="2793">
        <f t="shared" si="135"/>
        <v>0.3</v>
      </c>
      <c r="V172" s="2793">
        <f t="shared" si="136"/>
        <v>0.3</v>
      </c>
      <c r="W172" s="2793">
        <f t="shared" si="137"/>
        <v>0.3</v>
      </c>
      <c r="X172" s="2793">
        <f t="shared" si="138"/>
        <v>0.3</v>
      </c>
      <c r="Y172" s="2793">
        <f t="shared" si="139"/>
        <v>0.3</v>
      </c>
      <c r="Z172" s="2793">
        <f t="shared" si="140"/>
        <v>0.3</v>
      </c>
      <c r="AA172" s="2793">
        <f t="shared" si="141"/>
        <v>0.3</v>
      </c>
      <c r="AB172" s="2793">
        <f t="shared" si="142"/>
        <v>0.3</v>
      </c>
      <c r="AC172" s="2816">
        <f t="shared" si="143"/>
        <v>0</v>
      </c>
      <c r="AD172" s="2817">
        <f t="shared" si="144"/>
        <v>0</v>
      </c>
      <c r="AE172" s="2817">
        <f t="shared" si="145"/>
        <v>0</v>
      </c>
      <c r="AG172" s="1999" t="s">
        <v>1702</v>
      </c>
      <c r="AH172" s="2000" t="s">
        <v>1703</v>
      </c>
      <c r="AI172" s="1919" t="s">
        <v>1704</v>
      </c>
      <c r="AJ172" s="1922">
        <v>0.3</v>
      </c>
      <c r="AK172" s="1922">
        <v>0.3</v>
      </c>
      <c r="AL172" s="1922">
        <v>0.3</v>
      </c>
      <c r="AM172" s="1922">
        <v>0.3</v>
      </c>
      <c r="AN172" s="1922">
        <v>0.3</v>
      </c>
      <c r="AO172" s="1922">
        <v>0.3</v>
      </c>
      <c r="AP172" s="1922">
        <v>0.3</v>
      </c>
      <c r="AQ172" s="1922">
        <v>0.3</v>
      </c>
      <c r="AR172" s="1922">
        <v>0.3</v>
      </c>
      <c r="AS172" s="1922">
        <v>0.3</v>
      </c>
      <c r="AT172" s="2002">
        <v>0</v>
      </c>
      <c r="AU172" s="2003">
        <v>0</v>
      </c>
      <c r="AV172" s="2003">
        <v>0</v>
      </c>
      <c r="AX172" s="1999" t="s">
        <v>1702</v>
      </c>
      <c r="AY172" s="2000" t="s">
        <v>1703</v>
      </c>
      <c r="AZ172" s="1919" t="s">
        <v>1704</v>
      </c>
      <c r="BA172" s="1922">
        <v>0.3</v>
      </c>
      <c r="BB172" s="1922">
        <v>0.3</v>
      </c>
      <c r="BC172" s="1922">
        <v>0.3</v>
      </c>
      <c r="BD172" s="1922">
        <v>0.3</v>
      </c>
      <c r="BE172" s="1922">
        <v>0.3</v>
      </c>
      <c r="BF172" s="1922">
        <v>0.3</v>
      </c>
      <c r="BG172" s="1922">
        <v>0.3</v>
      </c>
      <c r="BH172" s="1922">
        <v>0.3</v>
      </c>
      <c r="BI172" s="1922">
        <v>0.3</v>
      </c>
      <c r="BJ172" s="1922">
        <v>0.3</v>
      </c>
      <c r="BK172" s="2002"/>
      <c r="BL172" s="2003"/>
      <c r="BM172" s="2003"/>
      <c r="BO172" s="1999" t="s">
        <v>1702</v>
      </c>
      <c r="BP172" s="2000" t="s">
        <v>1703</v>
      </c>
      <c r="BQ172" s="1919" t="s">
        <v>1704</v>
      </c>
      <c r="BR172" s="1922">
        <v>0.3</v>
      </c>
      <c r="BS172" s="1922">
        <v>0.3</v>
      </c>
      <c r="BT172" s="1922">
        <v>0.3</v>
      </c>
      <c r="BU172" s="1922">
        <v>0.3</v>
      </c>
      <c r="BV172" s="1922">
        <v>0.3</v>
      </c>
      <c r="BW172" s="1922">
        <v>0.3</v>
      </c>
      <c r="BX172" s="1922">
        <v>0.3</v>
      </c>
      <c r="BY172" s="1922">
        <v>0.3</v>
      </c>
      <c r="BZ172" s="1922">
        <v>0.3</v>
      </c>
      <c r="CA172" s="1922">
        <v>0.3</v>
      </c>
      <c r="CB172" s="2002"/>
      <c r="CC172" s="2003"/>
      <c r="CD172" s="2003"/>
      <c r="CE172" s="2276"/>
      <c r="CG172" s="1999" t="s">
        <v>1702</v>
      </c>
      <c r="CH172" s="2000" t="s">
        <v>1412</v>
      </c>
      <c r="CI172" s="1919" t="s">
        <v>1704</v>
      </c>
      <c r="CJ172" s="2701">
        <f>BR172</f>
        <v>0.3</v>
      </c>
      <c r="CK172" s="2701">
        <f t="shared" si="155"/>
        <v>0.3</v>
      </c>
      <c r="CL172" s="2701">
        <f t="shared" si="156"/>
        <v>0.3</v>
      </c>
      <c r="CM172" s="2701">
        <f t="shared" si="157"/>
        <v>0.3</v>
      </c>
      <c r="CN172" s="2701">
        <f t="shared" si="158"/>
        <v>0.3</v>
      </c>
      <c r="CO172" s="2701">
        <f t="shared" si="159"/>
        <v>0.3</v>
      </c>
      <c r="CP172" s="2701">
        <f t="shared" si="160"/>
        <v>0.3</v>
      </c>
      <c r="CQ172" s="2701">
        <f t="shared" si="161"/>
        <v>0.3</v>
      </c>
      <c r="CR172" s="2701">
        <f t="shared" si="162"/>
        <v>0.3</v>
      </c>
      <c r="CS172" s="2701">
        <f t="shared" si="163"/>
        <v>0.3</v>
      </c>
      <c r="CT172" s="2727">
        <f t="shared" si="164"/>
        <v>0</v>
      </c>
      <c r="CU172" s="2728">
        <f t="shared" si="165"/>
        <v>0</v>
      </c>
      <c r="CV172" s="2728">
        <f t="shared" si="166"/>
        <v>0</v>
      </c>
      <c r="CX172" s="1999" t="s">
        <v>1702</v>
      </c>
      <c r="CY172" s="2000" t="s">
        <v>1412</v>
      </c>
      <c r="CZ172" s="1919" t="s">
        <v>1704</v>
      </c>
      <c r="DA172" s="2923">
        <v>0.1</v>
      </c>
      <c r="DB172" s="2691"/>
      <c r="DC172" s="2691"/>
      <c r="DD172" s="2691"/>
      <c r="DE172" s="2691"/>
      <c r="DF172" s="2691"/>
      <c r="DG172" s="2691"/>
      <c r="DH172" s="2691"/>
      <c r="DI172" s="2691"/>
      <c r="DJ172" s="2691"/>
      <c r="DK172" s="2699"/>
      <c r="DL172" s="2700"/>
      <c r="DM172" s="2700"/>
    </row>
    <row r="173" spans="1:117">
      <c r="B173" s="1921">
        <f t="shared" si="180"/>
        <v>1</v>
      </c>
      <c r="C173" s="1928" t="str">
        <f t="shared" si="147"/>
        <v>地球温暖化への配慮</v>
      </c>
      <c r="D173" s="1924" t="e">
        <f>IF(I$172=0,0,G173/I$172)</f>
        <v>#DIV/0!</v>
      </c>
      <c r="E173" s="1924" t="e">
        <f>IF(J$172=0,0,H173/J$172)</f>
        <v>#DIV/0!</v>
      </c>
      <c r="G173" s="1925" t="e">
        <f t="shared" si="168"/>
        <v>#DIV/0!</v>
      </c>
      <c r="H173" s="1925" t="e">
        <f t="shared" si="169"/>
        <v>#DIV/0!</v>
      </c>
      <c r="I173" s="1925"/>
      <c r="J173" s="1925"/>
      <c r="K173" s="1925">
        <f>IF(スコア!O173=0,0,1)</f>
        <v>0</v>
      </c>
      <c r="L173" s="1925">
        <f>IF(スコア!R173=0,0,1)</f>
        <v>0</v>
      </c>
      <c r="M173" s="1925" t="e">
        <f t="shared" si="170"/>
        <v>#DIV/0!</v>
      </c>
      <c r="N173" s="1925" t="e">
        <f t="shared" si="182"/>
        <v>#DIV/0!</v>
      </c>
      <c r="P173" s="2008">
        <f t="shared" si="149"/>
        <v>1</v>
      </c>
      <c r="Q173" s="1931" t="str">
        <f t="shared" si="150"/>
        <v>LR3</v>
      </c>
      <c r="R173" s="1928" t="str">
        <f t="shared" si="151"/>
        <v>地球温暖化への配慮</v>
      </c>
      <c r="S173" s="2796">
        <f t="shared" si="133"/>
        <v>0.33333333333333331</v>
      </c>
      <c r="T173" s="2796">
        <f t="shared" si="134"/>
        <v>0.33333333333333331</v>
      </c>
      <c r="U173" s="2796">
        <f t="shared" si="135"/>
        <v>0.33333333333333331</v>
      </c>
      <c r="V173" s="2796">
        <f t="shared" si="136"/>
        <v>0.33333333333333331</v>
      </c>
      <c r="W173" s="2796">
        <f t="shared" si="137"/>
        <v>0.33333333333333331</v>
      </c>
      <c r="X173" s="2796">
        <f t="shared" si="138"/>
        <v>0.33333333333333331</v>
      </c>
      <c r="Y173" s="2796">
        <f t="shared" si="139"/>
        <v>0.33333333333333331</v>
      </c>
      <c r="Z173" s="2796">
        <f t="shared" si="140"/>
        <v>0.33333333333333331</v>
      </c>
      <c r="AA173" s="2796">
        <f t="shared" si="141"/>
        <v>0.33333333333333331</v>
      </c>
      <c r="AB173" s="2796">
        <f t="shared" si="142"/>
        <v>0.33333333333333331</v>
      </c>
      <c r="AC173" s="2798">
        <f t="shared" si="143"/>
        <v>0</v>
      </c>
      <c r="AD173" s="2796">
        <f t="shared" si="144"/>
        <v>0</v>
      </c>
      <c r="AE173" s="2796">
        <f t="shared" si="145"/>
        <v>0</v>
      </c>
      <c r="AG173" s="1927">
        <v>1</v>
      </c>
      <c r="AH173" s="1931" t="s">
        <v>1606</v>
      </c>
      <c r="AI173" s="1928" t="s">
        <v>672</v>
      </c>
      <c r="AJ173" s="1932">
        <v>0.33333333333333331</v>
      </c>
      <c r="AK173" s="1932">
        <v>0.33333333333333331</v>
      </c>
      <c r="AL173" s="1932">
        <v>0.33333333333333331</v>
      </c>
      <c r="AM173" s="1932">
        <v>0.33333333333333331</v>
      </c>
      <c r="AN173" s="1932">
        <v>0.33333333333333331</v>
      </c>
      <c r="AO173" s="1932">
        <v>0.33333333333333331</v>
      </c>
      <c r="AP173" s="1932">
        <v>0.33333333333333331</v>
      </c>
      <c r="AQ173" s="1932">
        <v>0.33333333333333331</v>
      </c>
      <c r="AR173" s="1932">
        <v>0.33333333333333331</v>
      </c>
      <c r="AS173" s="1932">
        <v>0.33333333333333331</v>
      </c>
      <c r="AT173" s="1933">
        <v>0</v>
      </c>
      <c r="AU173" s="1932">
        <v>0</v>
      </c>
      <c r="AV173" s="1932">
        <v>0</v>
      </c>
      <c r="AX173" s="1927">
        <v>1</v>
      </c>
      <c r="AY173" s="1931" t="s">
        <v>1606</v>
      </c>
      <c r="AZ173" s="1928" t="s">
        <v>672</v>
      </c>
      <c r="BA173" s="1932">
        <f t="shared" ref="BA173:BJ174" si="190">1/3</f>
        <v>0.33333333333333331</v>
      </c>
      <c r="BB173" s="1932">
        <f t="shared" si="190"/>
        <v>0.33333333333333331</v>
      </c>
      <c r="BC173" s="1932">
        <f t="shared" si="190"/>
        <v>0.33333333333333331</v>
      </c>
      <c r="BD173" s="1932">
        <f t="shared" si="190"/>
        <v>0.33333333333333331</v>
      </c>
      <c r="BE173" s="1932">
        <f t="shared" si="190"/>
        <v>0.33333333333333331</v>
      </c>
      <c r="BF173" s="1932">
        <f t="shared" si="190"/>
        <v>0.33333333333333331</v>
      </c>
      <c r="BG173" s="1932">
        <f t="shared" si="190"/>
        <v>0.33333333333333331</v>
      </c>
      <c r="BH173" s="1932">
        <f t="shared" si="190"/>
        <v>0.33333333333333331</v>
      </c>
      <c r="BI173" s="1932">
        <f t="shared" si="190"/>
        <v>0.33333333333333331</v>
      </c>
      <c r="BJ173" s="1932">
        <f t="shared" si="190"/>
        <v>0.33333333333333331</v>
      </c>
      <c r="BK173" s="1933"/>
      <c r="BL173" s="1932"/>
      <c r="BM173" s="1932"/>
      <c r="BO173" s="1927">
        <v>1</v>
      </c>
      <c r="BP173" s="1931" t="s">
        <v>1606</v>
      </c>
      <c r="BQ173" s="1928" t="s">
        <v>672</v>
      </c>
      <c r="BR173" s="1932">
        <f t="shared" ref="BR173:CA174" si="191">1/3</f>
        <v>0.33333333333333331</v>
      </c>
      <c r="BS173" s="1932">
        <f t="shared" si="191"/>
        <v>0.33333333333333331</v>
      </c>
      <c r="BT173" s="1932">
        <f t="shared" si="191"/>
        <v>0.33333333333333331</v>
      </c>
      <c r="BU173" s="1932">
        <f t="shared" si="191"/>
        <v>0.33333333333333331</v>
      </c>
      <c r="BV173" s="1932">
        <f t="shared" si="191"/>
        <v>0.33333333333333331</v>
      </c>
      <c r="BW173" s="1932">
        <f t="shared" si="191"/>
        <v>0.33333333333333331</v>
      </c>
      <c r="BX173" s="1932">
        <f t="shared" si="191"/>
        <v>0.33333333333333331</v>
      </c>
      <c r="BY173" s="1932">
        <f t="shared" si="191"/>
        <v>0.33333333333333331</v>
      </c>
      <c r="BZ173" s="1932">
        <f t="shared" si="191"/>
        <v>0.33333333333333331</v>
      </c>
      <c r="CA173" s="1932">
        <f t="shared" si="191"/>
        <v>0.33333333333333331</v>
      </c>
      <c r="CB173" s="1933"/>
      <c r="CC173" s="1932"/>
      <c r="CD173" s="1932"/>
      <c r="CE173" s="2271"/>
      <c r="CG173" s="1927">
        <v>1</v>
      </c>
      <c r="CH173" s="1931" t="s">
        <v>1606</v>
      </c>
      <c r="CI173" s="1928" t="s">
        <v>672</v>
      </c>
      <c r="CJ173" s="2703">
        <f t="shared" si="167"/>
        <v>0.33333333333333331</v>
      </c>
      <c r="CK173" s="2703">
        <f t="shared" si="155"/>
        <v>0.33333333333333331</v>
      </c>
      <c r="CL173" s="2703">
        <f t="shared" si="156"/>
        <v>0.33333333333333331</v>
      </c>
      <c r="CM173" s="2703">
        <f t="shared" si="157"/>
        <v>0.33333333333333331</v>
      </c>
      <c r="CN173" s="2703">
        <f t="shared" si="158"/>
        <v>0.33333333333333331</v>
      </c>
      <c r="CO173" s="2703">
        <f t="shared" si="159"/>
        <v>0.33333333333333331</v>
      </c>
      <c r="CP173" s="2703">
        <f t="shared" si="160"/>
        <v>0.33333333333333331</v>
      </c>
      <c r="CQ173" s="2703">
        <f t="shared" si="161"/>
        <v>0.33333333333333331</v>
      </c>
      <c r="CR173" s="2703">
        <f t="shared" si="162"/>
        <v>0.33333333333333331</v>
      </c>
      <c r="CS173" s="2703">
        <f t="shared" si="163"/>
        <v>0.33333333333333331</v>
      </c>
      <c r="CT173" s="2705">
        <f t="shared" si="164"/>
        <v>0</v>
      </c>
      <c r="CU173" s="2703">
        <f t="shared" si="165"/>
        <v>0</v>
      </c>
      <c r="CV173" s="2703">
        <f t="shared" si="166"/>
        <v>0</v>
      </c>
      <c r="CX173" s="1927">
        <v>1</v>
      </c>
      <c r="CY173" s="1931" t="s">
        <v>1606</v>
      </c>
      <c r="CZ173" s="1928" t="s">
        <v>672</v>
      </c>
      <c r="DA173" s="2932">
        <v>0</v>
      </c>
      <c r="DB173" s="2693"/>
      <c r="DC173" s="2693"/>
      <c r="DD173" s="2693"/>
      <c r="DE173" s="2693"/>
      <c r="DF173" s="2693"/>
      <c r="DG173" s="2693"/>
      <c r="DH173" s="2693"/>
      <c r="DI173" s="2693"/>
      <c r="DJ173" s="2693"/>
      <c r="DK173" s="2694"/>
      <c r="DL173" s="2693"/>
      <c r="DM173" s="2693"/>
    </row>
    <row r="174" spans="1:117">
      <c r="B174" s="1916">
        <f t="shared" si="180"/>
        <v>2</v>
      </c>
      <c r="C174" s="1928" t="str">
        <f t="shared" si="147"/>
        <v>地域環境への配慮</v>
      </c>
      <c r="D174" s="1924" t="e">
        <f>IF(I$172=0,0,G174/I$172)</f>
        <v>#DIV/0!</v>
      </c>
      <c r="E174" s="1924" t="e">
        <f>IF(J$172=0,0,H174/J$172)</f>
        <v>#DIV/0!</v>
      </c>
      <c r="G174" s="1925" t="e">
        <f t="shared" si="168"/>
        <v>#DIV/0!</v>
      </c>
      <c r="H174" s="1925" t="e">
        <f t="shared" si="169"/>
        <v>#DIV/0!</v>
      </c>
      <c r="I174" s="1925" t="e">
        <f>G175+G176+G177+G182</f>
        <v>#DIV/0!</v>
      </c>
      <c r="J174" s="1925" t="e">
        <f>H175+H176+H177+H182</f>
        <v>#DIV/0!</v>
      </c>
      <c r="K174" s="1925" t="e">
        <f>IF(スコア!O174=0,0,1)</f>
        <v>#DIV/0!</v>
      </c>
      <c r="L174" s="1925" t="e">
        <f>IF(スコア!R174=0,0,1)</f>
        <v>#DIV/0!</v>
      </c>
      <c r="M174" s="1925" t="e">
        <f t="shared" si="170"/>
        <v>#DIV/0!</v>
      </c>
      <c r="N174" s="1925" t="e">
        <f t="shared" si="182"/>
        <v>#DIV/0!</v>
      </c>
      <c r="P174" s="2008">
        <f t="shared" si="149"/>
        <v>2</v>
      </c>
      <c r="Q174" s="1931" t="str">
        <f t="shared" si="150"/>
        <v>LR3</v>
      </c>
      <c r="R174" s="1928" t="str">
        <f t="shared" si="151"/>
        <v>地域環境への配慮</v>
      </c>
      <c r="S174" s="2796">
        <f t="shared" si="133"/>
        <v>0.33333333333333331</v>
      </c>
      <c r="T174" s="2796">
        <f t="shared" si="134"/>
        <v>0.33333333333333331</v>
      </c>
      <c r="U174" s="2796">
        <f t="shared" si="135"/>
        <v>0.33333333333333331</v>
      </c>
      <c r="V174" s="2796">
        <f t="shared" si="136"/>
        <v>0.33333333333333331</v>
      </c>
      <c r="W174" s="2796">
        <f t="shared" si="137"/>
        <v>0.33333333333333331</v>
      </c>
      <c r="X174" s="2796">
        <f t="shared" si="138"/>
        <v>0.33333333333333331</v>
      </c>
      <c r="Y174" s="2796">
        <f t="shared" si="139"/>
        <v>0.33333333333333331</v>
      </c>
      <c r="Z174" s="2796">
        <f t="shared" si="140"/>
        <v>0.33333333333333331</v>
      </c>
      <c r="AA174" s="2796">
        <f t="shared" si="141"/>
        <v>0.33333333333333331</v>
      </c>
      <c r="AB174" s="2796">
        <f t="shared" si="142"/>
        <v>0.33333333333333331</v>
      </c>
      <c r="AC174" s="2798">
        <f t="shared" si="143"/>
        <v>0</v>
      </c>
      <c r="AD174" s="2796">
        <f t="shared" si="144"/>
        <v>0</v>
      </c>
      <c r="AE174" s="2796">
        <f t="shared" si="145"/>
        <v>0</v>
      </c>
      <c r="AG174" s="1927">
        <v>2</v>
      </c>
      <c r="AH174" s="1931" t="s">
        <v>1606</v>
      </c>
      <c r="AI174" s="1928" t="s">
        <v>673</v>
      </c>
      <c r="AJ174" s="1932">
        <v>0.33333333333333331</v>
      </c>
      <c r="AK174" s="1932">
        <v>0.33333333333333331</v>
      </c>
      <c r="AL174" s="1932">
        <v>0.33333333333333331</v>
      </c>
      <c r="AM174" s="1932">
        <v>0.33333333333333331</v>
      </c>
      <c r="AN174" s="1932">
        <v>0.33333333333333331</v>
      </c>
      <c r="AO174" s="1932">
        <v>0.33333333333333331</v>
      </c>
      <c r="AP174" s="1932">
        <v>0.33333333333333331</v>
      </c>
      <c r="AQ174" s="1932">
        <v>0.33333333333333331</v>
      </c>
      <c r="AR174" s="1932">
        <v>0.33333333333333331</v>
      </c>
      <c r="AS174" s="1932">
        <v>0.33333333333333331</v>
      </c>
      <c r="AT174" s="1933">
        <v>0</v>
      </c>
      <c r="AU174" s="1932">
        <v>0</v>
      </c>
      <c r="AV174" s="1932">
        <v>0</v>
      </c>
      <c r="AX174" s="1927">
        <v>2</v>
      </c>
      <c r="AY174" s="1931" t="s">
        <v>1606</v>
      </c>
      <c r="AZ174" s="1928" t="s">
        <v>673</v>
      </c>
      <c r="BA174" s="1932">
        <f t="shared" si="190"/>
        <v>0.33333333333333331</v>
      </c>
      <c r="BB174" s="1932">
        <f t="shared" si="190"/>
        <v>0.33333333333333331</v>
      </c>
      <c r="BC174" s="1932">
        <f t="shared" si="190"/>
        <v>0.33333333333333331</v>
      </c>
      <c r="BD174" s="1932">
        <f t="shared" si="190"/>
        <v>0.33333333333333331</v>
      </c>
      <c r="BE174" s="1932">
        <f t="shared" si="190"/>
        <v>0.33333333333333331</v>
      </c>
      <c r="BF174" s="1932">
        <f t="shared" si="190"/>
        <v>0.33333333333333331</v>
      </c>
      <c r="BG174" s="1932">
        <f t="shared" si="190"/>
        <v>0.33333333333333331</v>
      </c>
      <c r="BH174" s="1932">
        <f t="shared" si="190"/>
        <v>0.33333333333333331</v>
      </c>
      <c r="BI174" s="1932">
        <f t="shared" si="190"/>
        <v>0.33333333333333331</v>
      </c>
      <c r="BJ174" s="1932">
        <f t="shared" si="190"/>
        <v>0.33333333333333331</v>
      </c>
      <c r="BK174" s="1933"/>
      <c r="BL174" s="1932"/>
      <c r="BM174" s="1932"/>
      <c r="BO174" s="1927">
        <v>2</v>
      </c>
      <c r="BP174" s="1931" t="s">
        <v>1606</v>
      </c>
      <c r="BQ174" s="1928" t="s">
        <v>673</v>
      </c>
      <c r="BR174" s="1932">
        <f t="shared" si="191"/>
        <v>0.33333333333333331</v>
      </c>
      <c r="BS174" s="1932">
        <f t="shared" si="191"/>
        <v>0.33333333333333331</v>
      </c>
      <c r="BT174" s="1932">
        <f t="shared" si="191"/>
        <v>0.33333333333333331</v>
      </c>
      <c r="BU174" s="1932">
        <f t="shared" si="191"/>
        <v>0.33333333333333331</v>
      </c>
      <c r="BV174" s="1932">
        <f t="shared" si="191"/>
        <v>0.33333333333333331</v>
      </c>
      <c r="BW174" s="1932">
        <f t="shared" si="191"/>
        <v>0.33333333333333331</v>
      </c>
      <c r="BX174" s="1932">
        <f t="shared" si="191"/>
        <v>0.33333333333333331</v>
      </c>
      <c r="BY174" s="1932">
        <f t="shared" si="191"/>
        <v>0.33333333333333331</v>
      </c>
      <c r="BZ174" s="1932">
        <f t="shared" si="191"/>
        <v>0.33333333333333331</v>
      </c>
      <c r="CA174" s="1932">
        <f t="shared" si="191"/>
        <v>0.33333333333333331</v>
      </c>
      <c r="CB174" s="1933"/>
      <c r="CC174" s="1932"/>
      <c r="CD174" s="1932"/>
      <c r="CE174" s="2271"/>
      <c r="CG174" s="1927">
        <v>2</v>
      </c>
      <c r="CH174" s="1931" t="s">
        <v>1606</v>
      </c>
      <c r="CI174" s="1928" t="s">
        <v>673</v>
      </c>
      <c r="CJ174" s="2703">
        <f t="shared" si="167"/>
        <v>0.33333333333333331</v>
      </c>
      <c r="CK174" s="2703">
        <f t="shared" si="155"/>
        <v>0.33333333333333331</v>
      </c>
      <c r="CL174" s="2703">
        <f t="shared" si="156"/>
        <v>0.33333333333333331</v>
      </c>
      <c r="CM174" s="2703">
        <f t="shared" si="157"/>
        <v>0.33333333333333331</v>
      </c>
      <c r="CN174" s="2703">
        <f t="shared" si="158"/>
        <v>0.33333333333333331</v>
      </c>
      <c r="CO174" s="2703">
        <f t="shared" si="159"/>
        <v>0.33333333333333331</v>
      </c>
      <c r="CP174" s="2703">
        <f t="shared" si="160"/>
        <v>0.33333333333333331</v>
      </c>
      <c r="CQ174" s="2703">
        <f t="shared" si="161"/>
        <v>0.33333333333333331</v>
      </c>
      <c r="CR174" s="2703">
        <f t="shared" si="162"/>
        <v>0.33333333333333331</v>
      </c>
      <c r="CS174" s="2703">
        <f t="shared" si="163"/>
        <v>0.33333333333333331</v>
      </c>
      <c r="CT174" s="2705">
        <f t="shared" si="164"/>
        <v>0</v>
      </c>
      <c r="CU174" s="2703">
        <f t="shared" si="165"/>
        <v>0</v>
      </c>
      <c r="CV174" s="2703">
        <f t="shared" si="166"/>
        <v>0</v>
      </c>
      <c r="CX174" s="1927">
        <v>2</v>
      </c>
      <c r="CY174" s="1931" t="s">
        <v>1606</v>
      </c>
      <c r="CZ174" s="1928" t="s">
        <v>673</v>
      </c>
      <c r="DA174" s="2932">
        <v>1</v>
      </c>
      <c r="DB174" s="2693"/>
      <c r="DC174" s="2693"/>
      <c r="DD174" s="2693"/>
      <c r="DE174" s="2693"/>
      <c r="DF174" s="2693"/>
      <c r="DG174" s="2693"/>
      <c r="DH174" s="2693"/>
      <c r="DI174" s="2693"/>
      <c r="DJ174" s="2693"/>
      <c r="DK174" s="2694"/>
      <c r="DL174" s="2693"/>
      <c r="DM174" s="2693"/>
    </row>
    <row r="175" spans="1:117">
      <c r="B175" s="1916" t="str">
        <f t="shared" si="180"/>
        <v>2.1</v>
      </c>
      <c r="C175" s="1938" t="str">
        <f t="shared" si="147"/>
        <v>大気汚染防止</v>
      </c>
      <c r="D175" s="1935" t="e">
        <f>IF(I$174=0,0,G175/I$174)</f>
        <v>#DIV/0!</v>
      </c>
      <c r="E175" s="1935" t="e">
        <f t="shared" ref="D175:E177" si="192">IF(J$174=0,0,H175/J$174)</f>
        <v>#DIV/0!</v>
      </c>
      <c r="G175" s="1936" t="e">
        <f t="shared" si="168"/>
        <v>#DIV/0!</v>
      </c>
      <c r="H175" s="1936" t="e">
        <f t="shared" si="169"/>
        <v>#DIV/0!</v>
      </c>
      <c r="I175" s="1936"/>
      <c r="J175" s="1936"/>
      <c r="K175" s="1936">
        <f>IF(スコア!O175=0,0,1)</f>
        <v>1</v>
      </c>
      <c r="L175" s="1936">
        <f>IF(スコア!R175=0,0,1)</f>
        <v>0</v>
      </c>
      <c r="M175" s="1936" t="e">
        <f t="shared" si="170"/>
        <v>#DIV/0!</v>
      </c>
      <c r="N175" s="1936" t="e">
        <f t="shared" si="182"/>
        <v>#DIV/0!</v>
      </c>
      <c r="P175" s="2009" t="str">
        <f t="shared" si="149"/>
        <v>2.1</v>
      </c>
      <c r="Q175" s="1941" t="str">
        <f t="shared" si="150"/>
        <v>LR3 2</v>
      </c>
      <c r="R175" s="1938" t="str">
        <f t="shared" si="151"/>
        <v>大気汚染防止</v>
      </c>
      <c r="S175" s="2799">
        <f t="shared" si="133"/>
        <v>0.25</v>
      </c>
      <c r="T175" s="2799">
        <f t="shared" si="134"/>
        <v>0.25</v>
      </c>
      <c r="U175" s="2799">
        <f t="shared" si="135"/>
        <v>0.25</v>
      </c>
      <c r="V175" s="2799">
        <f t="shared" si="136"/>
        <v>0.25</v>
      </c>
      <c r="W175" s="2799">
        <f t="shared" si="137"/>
        <v>0.25</v>
      </c>
      <c r="X175" s="2799">
        <f t="shared" si="138"/>
        <v>0.25</v>
      </c>
      <c r="Y175" s="2799">
        <f t="shared" si="139"/>
        <v>0.25</v>
      </c>
      <c r="Z175" s="2799">
        <f t="shared" si="140"/>
        <v>0.25</v>
      </c>
      <c r="AA175" s="2799">
        <f t="shared" si="141"/>
        <v>0.25</v>
      </c>
      <c r="AB175" s="2799">
        <f t="shared" si="142"/>
        <v>0.25</v>
      </c>
      <c r="AC175" s="2800">
        <f t="shared" si="143"/>
        <v>0</v>
      </c>
      <c r="AD175" s="2799">
        <f t="shared" si="144"/>
        <v>0</v>
      </c>
      <c r="AE175" s="2799">
        <f t="shared" si="145"/>
        <v>0</v>
      </c>
      <c r="AG175" s="2010" t="s">
        <v>1705</v>
      </c>
      <c r="AH175" s="1941" t="s">
        <v>2509</v>
      </c>
      <c r="AI175" s="1938" t="s">
        <v>674</v>
      </c>
      <c r="AJ175" s="1944">
        <v>0.25</v>
      </c>
      <c r="AK175" s="1944">
        <v>0.25</v>
      </c>
      <c r="AL175" s="1944">
        <v>0.25</v>
      </c>
      <c r="AM175" s="1944">
        <v>0.25</v>
      </c>
      <c r="AN175" s="1944">
        <v>0.25</v>
      </c>
      <c r="AO175" s="1944">
        <v>0.25</v>
      </c>
      <c r="AP175" s="1944">
        <v>0.25</v>
      </c>
      <c r="AQ175" s="1944">
        <v>0.25</v>
      </c>
      <c r="AR175" s="1944">
        <v>0.25</v>
      </c>
      <c r="AS175" s="1944">
        <v>0.25</v>
      </c>
      <c r="AT175" s="1945"/>
      <c r="AU175" s="1944"/>
      <c r="AV175" s="1944"/>
      <c r="AX175" s="2010" t="s">
        <v>1706</v>
      </c>
      <c r="AY175" s="1941" t="s">
        <v>2509</v>
      </c>
      <c r="AZ175" s="1938" t="s">
        <v>674</v>
      </c>
      <c r="BA175" s="1944">
        <v>0.25</v>
      </c>
      <c r="BB175" s="1944">
        <v>0.25</v>
      </c>
      <c r="BC175" s="1944">
        <v>0.25</v>
      </c>
      <c r="BD175" s="1944">
        <v>0.25</v>
      </c>
      <c r="BE175" s="1944">
        <v>0.25</v>
      </c>
      <c r="BF175" s="1944">
        <v>0.25</v>
      </c>
      <c r="BG175" s="1944">
        <v>0.25</v>
      </c>
      <c r="BH175" s="1944">
        <v>0.25</v>
      </c>
      <c r="BI175" s="1944">
        <v>0.25</v>
      </c>
      <c r="BJ175" s="1944">
        <v>0.25</v>
      </c>
      <c r="BK175" s="1945"/>
      <c r="BL175" s="1944"/>
      <c r="BM175" s="1944"/>
      <c r="BO175" s="2010" t="s">
        <v>1706</v>
      </c>
      <c r="BP175" s="1941" t="s">
        <v>2509</v>
      </c>
      <c r="BQ175" s="1938" t="s">
        <v>674</v>
      </c>
      <c r="BR175" s="1944">
        <v>0.25</v>
      </c>
      <c r="BS175" s="1944">
        <v>0.25</v>
      </c>
      <c r="BT175" s="1944">
        <v>0.25</v>
      </c>
      <c r="BU175" s="1944">
        <v>0.25</v>
      </c>
      <c r="BV175" s="1944">
        <v>0.25</v>
      </c>
      <c r="BW175" s="1944">
        <v>0.25</v>
      </c>
      <c r="BX175" s="1944">
        <v>0.25</v>
      </c>
      <c r="BY175" s="1944">
        <v>0.25</v>
      </c>
      <c r="BZ175" s="1944">
        <v>0.25</v>
      </c>
      <c r="CA175" s="1944">
        <v>0.25</v>
      </c>
      <c r="CB175" s="1945"/>
      <c r="CC175" s="1944"/>
      <c r="CD175" s="1944"/>
      <c r="CE175" s="2272"/>
      <c r="CG175" s="2010" t="s">
        <v>1414</v>
      </c>
      <c r="CH175" s="1941" t="s">
        <v>2509</v>
      </c>
      <c r="CI175" s="1938" t="s">
        <v>674</v>
      </c>
      <c r="CJ175" s="2706">
        <f t="shared" si="167"/>
        <v>0.25</v>
      </c>
      <c r="CK175" s="2706">
        <f t="shared" si="155"/>
        <v>0.25</v>
      </c>
      <c r="CL175" s="2706">
        <f t="shared" si="156"/>
        <v>0.25</v>
      </c>
      <c r="CM175" s="2706">
        <f t="shared" si="157"/>
        <v>0.25</v>
      </c>
      <c r="CN175" s="2706">
        <f t="shared" si="158"/>
        <v>0.25</v>
      </c>
      <c r="CO175" s="2706">
        <f t="shared" si="159"/>
        <v>0.25</v>
      </c>
      <c r="CP175" s="2706">
        <f t="shared" si="160"/>
        <v>0.25</v>
      </c>
      <c r="CQ175" s="2706">
        <f t="shared" si="161"/>
        <v>0.25</v>
      </c>
      <c r="CR175" s="2706">
        <f t="shared" si="162"/>
        <v>0.25</v>
      </c>
      <c r="CS175" s="2706">
        <f t="shared" si="163"/>
        <v>0.25</v>
      </c>
      <c r="CT175" s="2708">
        <f t="shared" si="164"/>
        <v>0</v>
      </c>
      <c r="CU175" s="2706">
        <f t="shared" si="165"/>
        <v>0</v>
      </c>
      <c r="CV175" s="2706">
        <f t="shared" si="166"/>
        <v>0</v>
      </c>
      <c r="CX175" s="2010" t="s">
        <v>1414</v>
      </c>
      <c r="CY175" s="1941" t="s">
        <v>2509</v>
      </c>
      <c r="CZ175" s="1938"/>
      <c r="DA175" s="2924">
        <v>0</v>
      </c>
      <c r="DB175" s="2695"/>
      <c r="DC175" s="2695"/>
      <c r="DD175" s="2695"/>
      <c r="DE175" s="2695"/>
      <c r="DF175" s="2695"/>
      <c r="DG175" s="2695"/>
      <c r="DH175" s="2695"/>
      <c r="DI175" s="2695"/>
      <c r="DJ175" s="2695"/>
      <c r="DK175" s="2905"/>
      <c r="DL175" s="2695"/>
      <c r="DM175" s="2695"/>
    </row>
    <row r="176" spans="1:117">
      <c r="B176" s="1916" t="str">
        <f t="shared" si="180"/>
        <v>2.2</v>
      </c>
      <c r="C176" s="1938" t="str">
        <f t="shared" si="147"/>
        <v>温熱環境悪化の改善</v>
      </c>
      <c r="D176" s="1935" t="e">
        <f t="shared" si="192"/>
        <v>#DIV/0!</v>
      </c>
      <c r="E176" s="1935" t="e">
        <f t="shared" si="192"/>
        <v>#DIV/0!</v>
      </c>
      <c r="G176" s="1936" t="e">
        <f t="shared" si="168"/>
        <v>#DIV/0!</v>
      </c>
      <c r="H176" s="1936" t="e">
        <f t="shared" si="169"/>
        <v>#DIV/0!</v>
      </c>
      <c r="I176" s="1936"/>
      <c r="J176" s="1936"/>
      <c r="K176" s="1936">
        <f>IF(スコア!O176=0,0,1)</f>
        <v>1</v>
      </c>
      <c r="L176" s="1936">
        <f>IF(スコア!R176=0,0,1)</f>
        <v>0</v>
      </c>
      <c r="M176" s="1936" t="e">
        <f t="shared" si="170"/>
        <v>#DIV/0!</v>
      </c>
      <c r="N176" s="1936" t="e">
        <f t="shared" si="182"/>
        <v>#DIV/0!</v>
      </c>
      <c r="P176" s="2009" t="str">
        <f t="shared" si="149"/>
        <v>2.2</v>
      </c>
      <c r="Q176" s="1941" t="str">
        <f t="shared" si="150"/>
        <v>LR3 2</v>
      </c>
      <c r="R176" s="1938" t="str">
        <f t="shared" si="151"/>
        <v>温熱環境悪化の改善</v>
      </c>
      <c r="S176" s="2811">
        <f t="shared" si="133"/>
        <v>0.5</v>
      </c>
      <c r="T176" s="2811">
        <f t="shared" si="134"/>
        <v>0.5</v>
      </c>
      <c r="U176" s="2811">
        <f t="shared" si="135"/>
        <v>0.5</v>
      </c>
      <c r="V176" s="2811">
        <f t="shared" si="136"/>
        <v>0.5</v>
      </c>
      <c r="W176" s="2811">
        <f t="shared" si="137"/>
        <v>0.5</v>
      </c>
      <c r="X176" s="2811">
        <f t="shared" si="138"/>
        <v>0.5</v>
      </c>
      <c r="Y176" s="2811">
        <f t="shared" si="139"/>
        <v>0.5</v>
      </c>
      <c r="Z176" s="2811">
        <f t="shared" si="140"/>
        <v>0.5</v>
      </c>
      <c r="AA176" s="2811">
        <f t="shared" si="141"/>
        <v>0.5</v>
      </c>
      <c r="AB176" s="2811">
        <f t="shared" si="142"/>
        <v>0.5</v>
      </c>
      <c r="AC176" s="2812">
        <f t="shared" si="143"/>
        <v>0</v>
      </c>
      <c r="AD176" s="2811">
        <f t="shared" si="144"/>
        <v>0</v>
      </c>
      <c r="AE176" s="2811">
        <f t="shared" si="145"/>
        <v>0</v>
      </c>
      <c r="AG176" s="2010" t="s">
        <v>1707</v>
      </c>
      <c r="AH176" s="1941" t="s">
        <v>2509</v>
      </c>
      <c r="AI176" s="1938" t="s">
        <v>1944</v>
      </c>
      <c r="AJ176" s="1990">
        <v>0.5</v>
      </c>
      <c r="AK176" s="1990">
        <v>0.5</v>
      </c>
      <c r="AL176" s="1990">
        <v>0.5</v>
      </c>
      <c r="AM176" s="1990">
        <v>0.5</v>
      </c>
      <c r="AN176" s="1990">
        <v>0.5</v>
      </c>
      <c r="AO176" s="1990">
        <v>0.5</v>
      </c>
      <c r="AP176" s="1990">
        <v>0.5</v>
      </c>
      <c r="AQ176" s="1990">
        <v>0.5</v>
      </c>
      <c r="AR176" s="1990">
        <v>0.5</v>
      </c>
      <c r="AS176" s="1990">
        <v>0.5</v>
      </c>
      <c r="AT176" s="1991"/>
      <c r="AU176" s="1990"/>
      <c r="AV176" s="1990"/>
      <c r="AX176" s="2010" t="s">
        <v>1707</v>
      </c>
      <c r="AY176" s="1941" t="s">
        <v>2509</v>
      </c>
      <c r="AZ176" s="1938" t="s">
        <v>1944</v>
      </c>
      <c r="BA176" s="1990">
        <v>0.5</v>
      </c>
      <c r="BB176" s="1990">
        <v>0.5</v>
      </c>
      <c r="BC176" s="1990">
        <v>0.5</v>
      </c>
      <c r="BD176" s="1990">
        <v>0.5</v>
      </c>
      <c r="BE176" s="1990">
        <v>0.5</v>
      </c>
      <c r="BF176" s="1990">
        <v>0.5</v>
      </c>
      <c r="BG176" s="1990">
        <v>0.5</v>
      </c>
      <c r="BH176" s="1990">
        <v>0.5</v>
      </c>
      <c r="BI176" s="1990">
        <v>0.5</v>
      </c>
      <c r="BJ176" s="1990">
        <v>0.5</v>
      </c>
      <c r="BK176" s="1991"/>
      <c r="BL176" s="1990"/>
      <c r="BM176" s="1990"/>
      <c r="BO176" s="2010" t="s">
        <v>1707</v>
      </c>
      <c r="BP176" s="1941" t="s">
        <v>2509</v>
      </c>
      <c r="BQ176" s="1938" t="s">
        <v>1944</v>
      </c>
      <c r="BR176" s="1990">
        <v>0.5</v>
      </c>
      <c r="BS176" s="1990">
        <v>0.5</v>
      </c>
      <c r="BT176" s="1990">
        <v>0.5</v>
      </c>
      <c r="BU176" s="1990">
        <v>0.5</v>
      </c>
      <c r="BV176" s="1990">
        <v>0.5</v>
      </c>
      <c r="BW176" s="1990">
        <v>0.5</v>
      </c>
      <c r="BX176" s="1990">
        <v>0.5</v>
      </c>
      <c r="BY176" s="1990">
        <v>0.5</v>
      </c>
      <c r="BZ176" s="1990">
        <v>0.5</v>
      </c>
      <c r="CA176" s="1990">
        <v>0.5</v>
      </c>
      <c r="CB176" s="1991"/>
      <c r="CC176" s="1990"/>
      <c r="CD176" s="1990"/>
      <c r="CE176" s="2275"/>
      <c r="CG176" s="2010" t="s">
        <v>1415</v>
      </c>
      <c r="CH176" s="1941" t="s">
        <v>2509</v>
      </c>
      <c r="CI176" s="1938" t="s">
        <v>1944</v>
      </c>
      <c r="CJ176" s="2721">
        <f t="shared" si="167"/>
        <v>0.5</v>
      </c>
      <c r="CK176" s="2721">
        <f t="shared" si="155"/>
        <v>0.5</v>
      </c>
      <c r="CL176" s="2721">
        <f t="shared" si="156"/>
        <v>0.5</v>
      </c>
      <c r="CM176" s="2721">
        <f t="shared" si="157"/>
        <v>0.5</v>
      </c>
      <c r="CN176" s="2721">
        <f t="shared" si="158"/>
        <v>0.5</v>
      </c>
      <c r="CO176" s="2721">
        <f t="shared" si="159"/>
        <v>0.5</v>
      </c>
      <c r="CP176" s="2721">
        <f t="shared" si="160"/>
        <v>0.5</v>
      </c>
      <c r="CQ176" s="2721">
        <f t="shared" si="161"/>
        <v>0.5</v>
      </c>
      <c r="CR176" s="2721">
        <f t="shared" si="162"/>
        <v>0.5</v>
      </c>
      <c r="CS176" s="2721">
        <f t="shared" si="163"/>
        <v>0.5</v>
      </c>
      <c r="CT176" s="2722">
        <f t="shared" si="164"/>
        <v>0</v>
      </c>
      <c r="CU176" s="2721">
        <f t="shared" si="165"/>
        <v>0</v>
      </c>
      <c r="CV176" s="2721">
        <f t="shared" si="166"/>
        <v>0</v>
      </c>
      <c r="CX176" s="2010" t="s">
        <v>1415</v>
      </c>
      <c r="CY176" s="1941" t="s">
        <v>2509</v>
      </c>
      <c r="CZ176" s="1938"/>
      <c r="DA176" s="2924">
        <v>0</v>
      </c>
      <c r="DB176" s="2698"/>
      <c r="DC176" s="2698"/>
      <c r="DD176" s="2698"/>
      <c r="DE176" s="2698"/>
      <c r="DF176" s="2698"/>
      <c r="DG176" s="2698"/>
      <c r="DH176" s="2698"/>
      <c r="DI176" s="2698"/>
      <c r="DJ176" s="2698"/>
      <c r="DK176" s="2915"/>
      <c r="DL176" s="2698"/>
      <c r="DM176" s="2698"/>
    </row>
    <row r="177" spans="1:117">
      <c r="B177" s="1916" t="str">
        <f t="shared" si="180"/>
        <v>2.3</v>
      </c>
      <c r="C177" s="1938" t="str">
        <f t="shared" si="147"/>
        <v>地域インフラへの負荷抑制</v>
      </c>
      <c r="D177" s="1935" t="e">
        <f t="shared" si="192"/>
        <v>#DIV/0!</v>
      </c>
      <c r="E177" s="1935" t="e">
        <f t="shared" si="192"/>
        <v>#DIV/0!</v>
      </c>
      <c r="G177" s="1936" t="e">
        <f t="shared" si="168"/>
        <v>#DIV/0!</v>
      </c>
      <c r="H177" s="1936" t="e">
        <f t="shared" si="169"/>
        <v>#DIV/0!</v>
      </c>
      <c r="I177" s="1936" t="e">
        <f>SUM(G178:G181)</f>
        <v>#DIV/0!</v>
      </c>
      <c r="J177" s="1936" t="e">
        <f>SUM(H178:H181)</f>
        <v>#DIV/0!</v>
      </c>
      <c r="K177" s="1936" t="e">
        <f>IF(スコア!O177=0,0,1)</f>
        <v>#DIV/0!</v>
      </c>
      <c r="L177" s="1936" t="e">
        <f>IF(スコア!R177=0,0,1)</f>
        <v>#DIV/0!</v>
      </c>
      <c r="M177" s="1936" t="e">
        <f t="shared" si="170"/>
        <v>#DIV/0!</v>
      </c>
      <c r="N177" s="1936" t="e">
        <f t="shared" si="182"/>
        <v>#DIV/0!</v>
      </c>
      <c r="P177" s="2009" t="str">
        <f t="shared" si="149"/>
        <v>2.3</v>
      </c>
      <c r="Q177" s="1941" t="str">
        <f t="shared" si="150"/>
        <v>LR3 2</v>
      </c>
      <c r="R177" s="1938" t="str">
        <f t="shared" si="151"/>
        <v>地域インフラへの負荷抑制</v>
      </c>
      <c r="S177" s="2811">
        <f t="shared" si="133"/>
        <v>0.25</v>
      </c>
      <c r="T177" s="2811">
        <f t="shared" si="134"/>
        <v>0.25</v>
      </c>
      <c r="U177" s="2811">
        <f t="shared" si="135"/>
        <v>0.25</v>
      </c>
      <c r="V177" s="2811">
        <f t="shared" si="136"/>
        <v>0.25</v>
      </c>
      <c r="W177" s="2811">
        <f t="shared" si="137"/>
        <v>0.25</v>
      </c>
      <c r="X177" s="2811">
        <f t="shared" si="138"/>
        <v>0.25</v>
      </c>
      <c r="Y177" s="2811">
        <f t="shared" si="139"/>
        <v>0.25</v>
      </c>
      <c r="Z177" s="2811">
        <f t="shared" si="140"/>
        <v>0.25</v>
      </c>
      <c r="AA177" s="2811">
        <f t="shared" si="141"/>
        <v>0.25</v>
      </c>
      <c r="AB177" s="2811">
        <f t="shared" si="142"/>
        <v>0.25</v>
      </c>
      <c r="AC177" s="2812">
        <f t="shared" si="143"/>
        <v>0</v>
      </c>
      <c r="AD177" s="2811">
        <f t="shared" si="144"/>
        <v>0</v>
      </c>
      <c r="AE177" s="2811">
        <f t="shared" si="145"/>
        <v>0</v>
      </c>
      <c r="AG177" s="2010" t="s">
        <v>1708</v>
      </c>
      <c r="AH177" s="1941" t="s">
        <v>2509</v>
      </c>
      <c r="AI177" s="1938" t="s">
        <v>675</v>
      </c>
      <c r="AJ177" s="1990">
        <v>0.25</v>
      </c>
      <c r="AK177" s="1990">
        <v>0.25</v>
      </c>
      <c r="AL177" s="1990">
        <v>0.25</v>
      </c>
      <c r="AM177" s="1990">
        <v>0.25</v>
      </c>
      <c r="AN177" s="1990">
        <v>0.25</v>
      </c>
      <c r="AO177" s="1990">
        <v>0.25</v>
      </c>
      <c r="AP177" s="1990">
        <v>0.25</v>
      </c>
      <c r="AQ177" s="1990">
        <v>0.25</v>
      </c>
      <c r="AR177" s="1990">
        <v>0.25</v>
      </c>
      <c r="AS177" s="1990">
        <v>0.25</v>
      </c>
      <c r="AT177" s="1991"/>
      <c r="AU177" s="1990"/>
      <c r="AV177" s="1990"/>
      <c r="AX177" s="2010" t="s">
        <v>1709</v>
      </c>
      <c r="AY177" s="1941" t="s">
        <v>2509</v>
      </c>
      <c r="AZ177" s="1938" t="s">
        <v>675</v>
      </c>
      <c r="BA177" s="1990">
        <v>0.25</v>
      </c>
      <c r="BB177" s="1990">
        <v>0.25</v>
      </c>
      <c r="BC177" s="1990">
        <v>0.25</v>
      </c>
      <c r="BD177" s="1990">
        <v>0.25</v>
      </c>
      <c r="BE177" s="1990">
        <v>0.25</v>
      </c>
      <c r="BF177" s="1990">
        <v>0.25</v>
      </c>
      <c r="BG177" s="1990">
        <v>0.25</v>
      </c>
      <c r="BH177" s="1990">
        <v>0.25</v>
      </c>
      <c r="BI177" s="1990">
        <v>0.25</v>
      </c>
      <c r="BJ177" s="1990">
        <v>0.25</v>
      </c>
      <c r="BK177" s="1991"/>
      <c r="BL177" s="1990"/>
      <c r="BM177" s="1990"/>
      <c r="BO177" s="2010" t="s">
        <v>1709</v>
      </c>
      <c r="BP177" s="1941" t="s">
        <v>2509</v>
      </c>
      <c r="BQ177" s="1938" t="s">
        <v>675</v>
      </c>
      <c r="BR177" s="1990">
        <v>0.25</v>
      </c>
      <c r="BS177" s="1990">
        <v>0.25</v>
      </c>
      <c r="BT177" s="1990">
        <v>0.25</v>
      </c>
      <c r="BU177" s="1990">
        <v>0.25</v>
      </c>
      <c r="BV177" s="1990">
        <v>0.25</v>
      </c>
      <c r="BW177" s="1990">
        <v>0.25</v>
      </c>
      <c r="BX177" s="1990">
        <v>0.25</v>
      </c>
      <c r="BY177" s="1990">
        <v>0.25</v>
      </c>
      <c r="BZ177" s="1990">
        <v>0.25</v>
      </c>
      <c r="CA177" s="1990">
        <v>0.25</v>
      </c>
      <c r="CB177" s="1991"/>
      <c r="CC177" s="1990"/>
      <c r="CD177" s="1990"/>
      <c r="CE177" s="2275"/>
      <c r="CG177" s="2010" t="s">
        <v>1708</v>
      </c>
      <c r="CH177" s="1941" t="s">
        <v>2509</v>
      </c>
      <c r="CI177" s="1938" t="s">
        <v>675</v>
      </c>
      <c r="CJ177" s="2721">
        <f t="shared" si="167"/>
        <v>0.25</v>
      </c>
      <c r="CK177" s="2721">
        <f t="shared" si="155"/>
        <v>0.25</v>
      </c>
      <c r="CL177" s="2721">
        <f t="shared" si="156"/>
        <v>0.25</v>
      </c>
      <c r="CM177" s="2721">
        <f t="shared" si="157"/>
        <v>0.25</v>
      </c>
      <c r="CN177" s="2721">
        <f t="shared" si="158"/>
        <v>0.25</v>
      </c>
      <c r="CO177" s="2721">
        <f t="shared" si="159"/>
        <v>0.25</v>
      </c>
      <c r="CP177" s="2721">
        <f t="shared" si="160"/>
        <v>0.25</v>
      </c>
      <c r="CQ177" s="2721">
        <f t="shared" si="161"/>
        <v>0.25</v>
      </c>
      <c r="CR177" s="2721">
        <f t="shared" si="162"/>
        <v>0.25</v>
      </c>
      <c r="CS177" s="2721">
        <f t="shared" si="163"/>
        <v>0.25</v>
      </c>
      <c r="CT177" s="2722">
        <f t="shared" si="164"/>
        <v>0</v>
      </c>
      <c r="CU177" s="2721">
        <f t="shared" si="165"/>
        <v>0</v>
      </c>
      <c r="CV177" s="2721">
        <f t="shared" si="166"/>
        <v>0</v>
      </c>
      <c r="CX177" s="2010" t="s">
        <v>1708</v>
      </c>
      <c r="CY177" s="1941" t="s">
        <v>2509</v>
      </c>
      <c r="CZ177" s="1938"/>
      <c r="DA177" s="2924">
        <v>0</v>
      </c>
      <c r="DB177" s="2698"/>
      <c r="DC177" s="2698"/>
      <c r="DD177" s="2698"/>
      <c r="DE177" s="2698"/>
      <c r="DF177" s="2698"/>
      <c r="DG177" s="2698"/>
      <c r="DH177" s="2698"/>
      <c r="DI177" s="2698"/>
      <c r="DJ177" s="2698"/>
      <c r="DK177" s="2915"/>
      <c r="DL177" s="2698"/>
      <c r="DM177" s="2698"/>
    </row>
    <row r="178" spans="1:117">
      <c r="B178" s="1916" t="str">
        <f t="shared" si="180"/>
        <v>2.3.1</v>
      </c>
      <c r="C178" s="2011" t="str">
        <f t="shared" si="147"/>
        <v>雨水排水負荷低減</v>
      </c>
      <c r="D178" s="1935" t="e">
        <f t="shared" ref="D178:E181" si="193">IF(I$177=0,0,G178/I$177)</f>
        <v>#DIV/0!</v>
      </c>
      <c r="E178" s="1935" t="e">
        <f t="shared" si="193"/>
        <v>#DIV/0!</v>
      </c>
      <c r="G178" s="1936" t="e">
        <f t="shared" si="168"/>
        <v>#DIV/0!</v>
      </c>
      <c r="H178" s="1936" t="e">
        <f t="shared" si="169"/>
        <v>#DIV/0!</v>
      </c>
      <c r="I178" s="1936"/>
      <c r="J178" s="1936"/>
      <c r="K178" s="1936">
        <f>IF(スコア!O178=0,0,1)</f>
        <v>1</v>
      </c>
      <c r="L178" s="1936">
        <f>IF(スコア!R178=0,0,1)</f>
        <v>0</v>
      </c>
      <c r="M178" s="1936" t="e">
        <f t="shared" si="170"/>
        <v>#DIV/0!</v>
      </c>
      <c r="N178" s="1936" t="e">
        <f t="shared" si="182"/>
        <v>#DIV/0!</v>
      </c>
      <c r="P178" s="2010" t="str">
        <f t="shared" si="149"/>
        <v>2.3.1</v>
      </c>
      <c r="Q178" s="1941" t="str">
        <f t="shared" si="150"/>
        <v>LR3 2.3</v>
      </c>
      <c r="R178" s="2011" t="str">
        <f t="shared" si="151"/>
        <v>雨水排水負荷低減</v>
      </c>
      <c r="S178" s="2799">
        <f t="shared" si="133"/>
        <v>0.25</v>
      </c>
      <c r="T178" s="2799">
        <f t="shared" si="134"/>
        <v>0.25</v>
      </c>
      <c r="U178" s="2799">
        <f t="shared" si="135"/>
        <v>0.25</v>
      </c>
      <c r="V178" s="2799">
        <f t="shared" si="136"/>
        <v>0.25</v>
      </c>
      <c r="W178" s="2799">
        <f t="shared" si="137"/>
        <v>0.25</v>
      </c>
      <c r="X178" s="2799">
        <f t="shared" si="138"/>
        <v>0.25</v>
      </c>
      <c r="Y178" s="2799">
        <f t="shared" si="139"/>
        <v>0.25</v>
      </c>
      <c r="Z178" s="2799">
        <f t="shared" si="140"/>
        <v>0.25</v>
      </c>
      <c r="AA178" s="2799">
        <f t="shared" si="141"/>
        <v>0.25</v>
      </c>
      <c r="AB178" s="2799">
        <f t="shared" si="142"/>
        <v>0.25</v>
      </c>
      <c r="AC178" s="2812">
        <f t="shared" si="143"/>
        <v>0</v>
      </c>
      <c r="AD178" s="2811">
        <f t="shared" si="144"/>
        <v>0</v>
      </c>
      <c r="AE178" s="2811">
        <f t="shared" si="145"/>
        <v>0</v>
      </c>
      <c r="AG178" s="2010" t="s">
        <v>1710</v>
      </c>
      <c r="AH178" s="1941" t="s">
        <v>2510</v>
      </c>
      <c r="AI178" s="2011" t="s">
        <v>1945</v>
      </c>
      <c r="AJ178" s="1944">
        <v>0.25</v>
      </c>
      <c r="AK178" s="1944">
        <v>0.25</v>
      </c>
      <c r="AL178" s="1944">
        <v>0.25</v>
      </c>
      <c r="AM178" s="1944">
        <v>0.25</v>
      </c>
      <c r="AN178" s="1944">
        <v>0.25</v>
      </c>
      <c r="AO178" s="1944">
        <v>0.25</v>
      </c>
      <c r="AP178" s="1944">
        <v>0.25</v>
      </c>
      <c r="AQ178" s="1944">
        <v>0.25</v>
      </c>
      <c r="AR178" s="1944">
        <v>0.25</v>
      </c>
      <c r="AS178" s="1944">
        <v>0.25</v>
      </c>
      <c r="AT178" s="1991"/>
      <c r="AU178" s="1990"/>
      <c r="AV178" s="1990"/>
      <c r="AX178" s="2010" t="s">
        <v>1710</v>
      </c>
      <c r="AY178" s="1941" t="s">
        <v>2510</v>
      </c>
      <c r="AZ178" s="2011" t="s">
        <v>1945</v>
      </c>
      <c r="BA178" s="1944">
        <v>0.25</v>
      </c>
      <c r="BB178" s="1944">
        <v>0.25</v>
      </c>
      <c r="BC178" s="1944">
        <v>0.25</v>
      </c>
      <c r="BD178" s="1944">
        <v>0.25</v>
      </c>
      <c r="BE178" s="1944">
        <v>0.25</v>
      </c>
      <c r="BF178" s="1944">
        <v>0.25</v>
      </c>
      <c r="BG178" s="1944">
        <v>0.25</v>
      </c>
      <c r="BH178" s="1944">
        <v>0.25</v>
      </c>
      <c r="BI178" s="1944">
        <v>0.25</v>
      </c>
      <c r="BJ178" s="1944">
        <v>0.25</v>
      </c>
      <c r="BK178" s="1991"/>
      <c r="BL178" s="1990"/>
      <c r="BM178" s="1990"/>
      <c r="BO178" s="2010" t="s">
        <v>1710</v>
      </c>
      <c r="BP178" s="1941" t="s">
        <v>2510</v>
      </c>
      <c r="BQ178" s="2011" t="s">
        <v>1945</v>
      </c>
      <c r="BR178" s="1944">
        <v>0.25</v>
      </c>
      <c r="BS178" s="1944">
        <v>0.25</v>
      </c>
      <c r="BT178" s="1944">
        <v>0.25</v>
      </c>
      <c r="BU178" s="1944">
        <v>0.25</v>
      </c>
      <c r="BV178" s="1944">
        <v>0.25</v>
      </c>
      <c r="BW178" s="1944">
        <v>0.25</v>
      </c>
      <c r="BX178" s="1944">
        <v>0.25</v>
      </c>
      <c r="BY178" s="1944">
        <v>0.25</v>
      </c>
      <c r="BZ178" s="1944">
        <v>0.25</v>
      </c>
      <c r="CA178" s="1944">
        <v>0.25</v>
      </c>
      <c r="CB178" s="1991"/>
      <c r="CC178" s="1990"/>
      <c r="CD178" s="1990"/>
      <c r="CE178" s="2275"/>
      <c r="CG178" s="2010" t="s">
        <v>266</v>
      </c>
      <c r="CH178" s="1941" t="s">
        <v>2510</v>
      </c>
      <c r="CI178" s="2011" t="s">
        <v>1945</v>
      </c>
      <c r="CJ178" s="2706">
        <f t="shared" si="167"/>
        <v>0.25</v>
      </c>
      <c r="CK178" s="2706">
        <f t="shared" si="155"/>
        <v>0.25</v>
      </c>
      <c r="CL178" s="2706">
        <f t="shared" si="156"/>
        <v>0.25</v>
      </c>
      <c r="CM178" s="2706">
        <f t="shared" si="157"/>
        <v>0.25</v>
      </c>
      <c r="CN178" s="2706">
        <f t="shared" si="158"/>
        <v>0.25</v>
      </c>
      <c r="CO178" s="2706">
        <f t="shared" si="159"/>
        <v>0.25</v>
      </c>
      <c r="CP178" s="2706">
        <f t="shared" si="160"/>
        <v>0.25</v>
      </c>
      <c r="CQ178" s="2706">
        <f t="shared" si="161"/>
        <v>0.25</v>
      </c>
      <c r="CR178" s="2706">
        <f t="shared" si="162"/>
        <v>0.25</v>
      </c>
      <c r="CS178" s="2706">
        <f t="shared" si="163"/>
        <v>0.25</v>
      </c>
      <c r="CT178" s="2722">
        <f t="shared" si="164"/>
        <v>0</v>
      </c>
      <c r="CU178" s="2721">
        <f t="shared" si="165"/>
        <v>0</v>
      </c>
      <c r="CV178" s="2721">
        <f t="shared" si="166"/>
        <v>0</v>
      </c>
      <c r="CX178" s="2010" t="s">
        <v>266</v>
      </c>
      <c r="CY178" s="1941" t="s">
        <v>2510</v>
      </c>
      <c r="CZ178" s="2011"/>
      <c r="DA178" s="2924">
        <v>0</v>
      </c>
      <c r="DB178" s="2695"/>
      <c r="DC178" s="2695"/>
      <c r="DD178" s="2695"/>
      <c r="DE178" s="2695"/>
      <c r="DF178" s="2695"/>
      <c r="DG178" s="2695"/>
      <c r="DH178" s="2695"/>
      <c r="DI178" s="2695"/>
      <c r="DJ178" s="2695"/>
      <c r="DK178" s="2915"/>
      <c r="DL178" s="2698"/>
      <c r="DM178" s="2698"/>
    </row>
    <row r="179" spans="1:117">
      <c r="B179" s="1916" t="str">
        <f t="shared" si="180"/>
        <v>2.3.2</v>
      </c>
      <c r="C179" s="2011" t="str">
        <f t="shared" si="147"/>
        <v>汚水処理負荷抑制</v>
      </c>
      <c r="D179" s="1935" t="e">
        <f t="shared" si="193"/>
        <v>#DIV/0!</v>
      </c>
      <c r="E179" s="1935" t="e">
        <f t="shared" si="193"/>
        <v>#DIV/0!</v>
      </c>
      <c r="G179" s="1936" t="e">
        <f t="shared" si="168"/>
        <v>#DIV/0!</v>
      </c>
      <c r="H179" s="1936" t="e">
        <f t="shared" si="169"/>
        <v>#DIV/0!</v>
      </c>
      <c r="I179" s="1936"/>
      <c r="J179" s="1936"/>
      <c r="K179" s="1936">
        <f>IF(スコア!O179=0,0,1)</f>
        <v>1</v>
      </c>
      <c r="L179" s="1936">
        <f>IF(スコア!R179=0,0,1)</f>
        <v>0</v>
      </c>
      <c r="M179" s="1936" t="e">
        <f t="shared" si="170"/>
        <v>#DIV/0!</v>
      </c>
      <c r="N179" s="1936" t="e">
        <f t="shared" si="182"/>
        <v>#DIV/0!</v>
      </c>
      <c r="P179" s="2010" t="str">
        <f t="shared" si="149"/>
        <v>2.3.2</v>
      </c>
      <c r="Q179" s="1941" t="str">
        <f t="shared" si="150"/>
        <v>LR3 2.3</v>
      </c>
      <c r="R179" s="2011" t="str">
        <f t="shared" si="151"/>
        <v>汚水処理負荷抑制</v>
      </c>
      <c r="S179" s="2799">
        <f t="shared" si="133"/>
        <v>0.25</v>
      </c>
      <c r="T179" s="2799">
        <f t="shared" si="134"/>
        <v>0.25</v>
      </c>
      <c r="U179" s="2799">
        <f t="shared" si="135"/>
        <v>0.25</v>
      </c>
      <c r="V179" s="2799">
        <f t="shared" si="136"/>
        <v>0.25</v>
      </c>
      <c r="W179" s="2799">
        <f t="shared" si="137"/>
        <v>0.25</v>
      </c>
      <c r="X179" s="2799">
        <f t="shared" si="138"/>
        <v>0.25</v>
      </c>
      <c r="Y179" s="2799">
        <f t="shared" si="139"/>
        <v>0.25</v>
      </c>
      <c r="Z179" s="2799">
        <f t="shared" si="140"/>
        <v>0.25</v>
      </c>
      <c r="AA179" s="2799">
        <f t="shared" si="141"/>
        <v>0.25</v>
      </c>
      <c r="AB179" s="2799">
        <f t="shared" si="142"/>
        <v>0.25</v>
      </c>
      <c r="AC179" s="2812">
        <f t="shared" si="143"/>
        <v>0</v>
      </c>
      <c r="AD179" s="2811">
        <f t="shared" si="144"/>
        <v>0</v>
      </c>
      <c r="AE179" s="2811">
        <f t="shared" si="145"/>
        <v>0</v>
      </c>
      <c r="AG179" s="2010" t="s">
        <v>1711</v>
      </c>
      <c r="AH179" s="1941" t="s">
        <v>2510</v>
      </c>
      <c r="AI179" s="2011" t="s">
        <v>1946</v>
      </c>
      <c r="AJ179" s="1944">
        <v>0.25</v>
      </c>
      <c r="AK179" s="1944">
        <v>0.25</v>
      </c>
      <c r="AL179" s="1944">
        <v>0.25</v>
      </c>
      <c r="AM179" s="1944">
        <v>0.25</v>
      </c>
      <c r="AN179" s="1944">
        <v>0.25</v>
      </c>
      <c r="AO179" s="1944">
        <v>0.25</v>
      </c>
      <c r="AP179" s="1944">
        <v>0.25</v>
      </c>
      <c r="AQ179" s="1944">
        <v>0.25</v>
      </c>
      <c r="AR179" s="1944">
        <v>0.25</v>
      </c>
      <c r="AS179" s="1944">
        <v>0.25</v>
      </c>
      <c r="AT179" s="1991"/>
      <c r="AU179" s="1990"/>
      <c r="AV179" s="1990"/>
      <c r="AX179" s="2010" t="s">
        <v>1711</v>
      </c>
      <c r="AY179" s="1941" t="s">
        <v>2510</v>
      </c>
      <c r="AZ179" s="2011" t="s">
        <v>1946</v>
      </c>
      <c r="BA179" s="1944">
        <v>0.25</v>
      </c>
      <c r="BB179" s="1944">
        <v>0.25</v>
      </c>
      <c r="BC179" s="1944">
        <v>0.25</v>
      </c>
      <c r="BD179" s="1944">
        <v>0.25</v>
      </c>
      <c r="BE179" s="1944">
        <v>0.25</v>
      </c>
      <c r="BF179" s="1944">
        <v>0.25</v>
      </c>
      <c r="BG179" s="1944">
        <v>0.25</v>
      </c>
      <c r="BH179" s="1944">
        <v>0.25</v>
      </c>
      <c r="BI179" s="1944">
        <v>0.25</v>
      </c>
      <c r="BJ179" s="1944">
        <v>0.25</v>
      </c>
      <c r="BK179" s="1991"/>
      <c r="BL179" s="1990"/>
      <c r="BM179" s="1990"/>
      <c r="BO179" s="2010" t="s">
        <v>1711</v>
      </c>
      <c r="BP179" s="1941" t="s">
        <v>2510</v>
      </c>
      <c r="BQ179" s="2011" t="s">
        <v>1946</v>
      </c>
      <c r="BR179" s="1944">
        <v>0.25</v>
      </c>
      <c r="BS179" s="1944">
        <v>0.25</v>
      </c>
      <c r="BT179" s="1944">
        <v>0.25</v>
      </c>
      <c r="BU179" s="1944">
        <v>0.25</v>
      </c>
      <c r="BV179" s="1944">
        <v>0.25</v>
      </c>
      <c r="BW179" s="1944">
        <v>0.25</v>
      </c>
      <c r="BX179" s="1944">
        <v>0.25</v>
      </c>
      <c r="BY179" s="1944">
        <v>0.25</v>
      </c>
      <c r="BZ179" s="1944">
        <v>0.25</v>
      </c>
      <c r="CA179" s="1944">
        <v>0.25</v>
      </c>
      <c r="CB179" s="1991"/>
      <c r="CC179" s="1990"/>
      <c r="CD179" s="1990"/>
      <c r="CE179" s="2275"/>
      <c r="CG179" s="2010" t="s">
        <v>268</v>
      </c>
      <c r="CH179" s="1941" t="s">
        <v>2510</v>
      </c>
      <c r="CI179" s="2011" t="s">
        <v>1946</v>
      </c>
      <c r="CJ179" s="2706">
        <f t="shared" si="167"/>
        <v>0.25</v>
      </c>
      <c r="CK179" s="2706">
        <f t="shared" si="155"/>
        <v>0.25</v>
      </c>
      <c r="CL179" s="2706">
        <f t="shared" si="156"/>
        <v>0.25</v>
      </c>
      <c r="CM179" s="2706">
        <f t="shared" si="157"/>
        <v>0.25</v>
      </c>
      <c r="CN179" s="2706">
        <f t="shared" si="158"/>
        <v>0.25</v>
      </c>
      <c r="CO179" s="2706">
        <f t="shared" si="159"/>
        <v>0.25</v>
      </c>
      <c r="CP179" s="2706">
        <f t="shared" si="160"/>
        <v>0.25</v>
      </c>
      <c r="CQ179" s="2706">
        <f t="shared" si="161"/>
        <v>0.25</v>
      </c>
      <c r="CR179" s="2706">
        <f t="shared" si="162"/>
        <v>0.25</v>
      </c>
      <c r="CS179" s="2706">
        <f t="shared" si="163"/>
        <v>0.25</v>
      </c>
      <c r="CT179" s="2722">
        <f t="shared" si="164"/>
        <v>0</v>
      </c>
      <c r="CU179" s="2721">
        <f t="shared" si="165"/>
        <v>0</v>
      </c>
      <c r="CV179" s="2721">
        <f t="shared" si="166"/>
        <v>0</v>
      </c>
      <c r="CX179" s="2010" t="s">
        <v>268</v>
      </c>
      <c r="CY179" s="1941" t="s">
        <v>2510</v>
      </c>
      <c r="CZ179" s="2011"/>
      <c r="DA179" s="2924">
        <v>0</v>
      </c>
      <c r="DB179" s="2695"/>
      <c r="DC179" s="2695"/>
      <c r="DD179" s="2695"/>
      <c r="DE179" s="2695"/>
      <c r="DF179" s="2695"/>
      <c r="DG179" s="2695"/>
      <c r="DH179" s="2695"/>
      <c r="DI179" s="2695"/>
      <c r="DJ179" s="2695"/>
      <c r="DK179" s="2915"/>
      <c r="DL179" s="2698"/>
      <c r="DM179" s="2698"/>
    </row>
    <row r="180" spans="1:117">
      <c r="B180" s="1916" t="str">
        <f t="shared" si="180"/>
        <v>2.3.3</v>
      </c>
      <c r="C180" s="2011" t="str">
        <f t="shared" si="147"/>
        <v>交通負荷抑制</v>
      </c>
      <c r="D180" s="1935" t="e">
        <f t="shared" si="193"/>
        <v>#DIV/0!</v>
      </c>
      <c r="E180" s="1935" t="e">
        <f t="shared" si="193"/>
        <v>#DIV/0!</v>
      </c>
      <c r="G180" s="1936" t="e">
        <f t="shared" si="168"/>
        <v>#DIV/0!</v>
      </c>
      <c r="H180" s="1936" t="e">
        <f t="shared" si="169"/>
        <v>#DIV/0!</v>
      </c>
      <c r="I180" s="1936"/>
      <c r="J180" s="1936"/>
      <c r="K180" s="1936">
        <f>IF(スコア!O180=0,0,1)</f>
        <v>1</v>
      </c>
      <c r="L180" s="1936">
        <f>IF(スコア!R180=0,0,1)</f>
        <v>0</v>
      </c>
      <c r="M180" s="1936" t="e">
        <f t="shared" si="170"/>
        <v>#DIV/0!</v>
      </c>
      <c r="N180" s="1936" t="e">
        <f t="shared" si="182"/>
        <v>#DIV/0!</v>
      </c>
      <c r="P180" s="2010" t="str">
        <f t="shared" si="149"/>
        <v>2.3.3</v>
      </c>
      <c r="Q180" s="1941" t="str">
        <f t="shared" si="150"/>
        <v>LR3 2.3</v>
      </c>
      <c r="R180" s="2011" t="str">
        <f t="shared" si="151"/>
        <v>交通負荷抑制</v>
      </c>
      <c r="S180" s="2799">
        <f t="shared" si="133"/>
        <v>0.25</v>
      </c>
      <c r="T180" s="2799">
        <f t="shared" si="134"/>
        <v>0.25</v>
      </c>
      <c r="U180" s="2799">
        <f t="shared" si="135"/>
        <v>0.25</v>
      </c>
      <c r="V180" s="2799">
        <f t="shared" si="136"/>
        <v>0.25</v>
      </c>
      <c r="W180" s="2799">
        <f t="shared" si="137"/>
        <v>0.25</v>
      </c>
      <c r="X180" s="2799">
        <f t="shared" si="138"/>
        <v>0.25</v>
      </c>
      <c r="Y180" s="2799">
        <f t="shared" si="139"/>
        <v>0.25</v>
      </c>
      <c r="Z180" s="2799">
        <f t="shared" si="140"/>
        <v>0.25</v>
      </c>
      <c r="AA180" s="2799">
        <f t="shared" si="141"/>
        <v>0.25</v>
      </c>
      <c r="AB180" s="2799">
        <f t="shared" si="142"/>
        <v>0.25</v>
      </c>
      <c r="AC180" s="2812">
        <f t="shared" si="143"/>
        <v>0</v>
      </c>
      <c r="AD180" s="2811">
        <f t="shared" si="144"/>
        <v>0</v>
      </c>
      <c r="AE180" s="2811">
        <f t="shared" si="145"/>
        <v>0</v>
      </c>
      <c r="AG180" s="2010" t="s">
        <v>1712</v>
      </c>
      <c r="AH180" s="1941" t="s">
        <v>2510</v>
      </c>
      <c r="AI180" s="2011" t="s">
        <v>676</v>
      </c>
      <c r="AJ180" s="1944">
        <v>0.25</v>
      </c>
      <c r="AK180" s="1944">
        <v>0.25</v>
      </c>
      <c r="AL180" s="1944">
        <v>0.25</v>
      </c>
      <c r="AM180" s="1944">
        <v>0.25</v>
      </c>
      <c r="AN180" s="1944">
        <v>0.25</v>
      </c>
      <c r="AO180" s="1944">
        <v>0.25</v>
      </c>
      <c r="AP180" s="1944">
        <v>0.25</v>
      </c>
      <c r="AQ180" s="1944">
        <v>0.25</v>
      </c>
      <c r="AR180" s="1944">
        <v>0.25</v>
      </c>
      <c r="AS180" s="1944">
        <v>0.25</v>
      </c>
      <c r="AT180" s="1991"/>
      <c r="AU180" s="1990"/>
      <c r="AV180" s="1990"/>
      <c r="AX180" s="2010" t="s">
        <v>1713</v>
      </c>
      <c r="AY180" s="1941" t="s">
        <v>2510</v>
      </c>
      <c r="AZ180" s="2011" t="s">
        <v>676</v>
      </c>
      <c r="BA180" s="1944">
        <v>0.25</v>
      </c>
      <c r="BB180" s="1944">
        <v>0.25</v>
      </c>
      <c r="BC180" s="1944">
        <v>0.25</v>
      </c>
      <c r="BD180" s="1944">
        <v>0.25</v>
      </c>
      <c r="BE180" s="1944">
        <v>0.25</v>
      </c>
      <c r="BF180" s="1944">
        <v>0.25</v>
      </c>
      <c r="BG180" s="1944">
        <v>0.25</v>
      </c>
      <c r="BH180" s="1944">
        <v>0.25</v>
      </c>
      <c r="BI180" s="1944">
        <v>0.25</v>
      </c>
      <c r="BJ180" s="1944">
        <v>0.25</v>
      </c>
      <c r="BK180" s="1991"/>
      <c r="BL180" s="1990"/>
      <c r="BM180" s="1990"/>
      <c r="BO180" s="2010" t="s">
        <v>1713</v>
      </c>
      <c r="BP180" s="1941" t="s">
        <v>2510</v>
      </c>
      <c r="BQ180" s="2011" t="s">
        <v>676</v>
      </c>
      <c r="BR180" s="1944">
        <v>0.25</v>
      </c>
      <c r="BS180" s="1944">
        <v>0.25</v>
      </c>
      <c r="BT180" s="1944">
        <v>0.25</v>
      </c>
      <c r="BU180" s="1944">
        <v>0.25</v>
      </c>
      <c r="BV180" s="1944">
        <v>0.25</v>
      </c>
      <c r="BW180" s="1944">
        <v>0.25</v>
      </c>
      <c r="BX180" s="1944">
        <v>0.25</v>
      </c>
      <c r="BY180" s="1944">
        <v>0.25</v>
      </c>
      <c r="BZ180" s="1944">
        <v>0.25</v>
      </c>
      <c r="CA180" s="1944">
        <v>0.25</v>
      </c>
      <c r="CB180" s="1991"/>
      <c r="CC180" s="1990"/>
      <c r="CD180" s="1990"/>
      <c r="CE180" s="2275"/>
      <c r="CG180" s="2010" t="s">
        <v>1389</v>
      </c>
      <c r="CH180" s="1941" t="s">
        <v>2510</v>
      </c>
      <c r="CI180" s="2011" t="s">
        <v>676</v>
      </c>
      <c r="CJ180" s="2706">
        <f t="shared" si="167"/>
        <v>0.25</v>
      </c>
      <c r="CK180" s="2706">
        <f t="shared" si="155"/>
        <v>0.25</v>
      </c>
      <c r="CL180" s="2706">
        <f t="shared" si="156"/>
        <v>0.25</v>
      </c>
      <c r="CM180" s="2706">
        <f t="shared" si="157"/>
        <v>0.25</v>
      </c>
      <c r="CN180" s="2706">
        <f t="shared" si="158"/>
        <v>0.25</v>
      </c>
      <c r="CO180" s="2706">
        <f t="shared" si="159"/>
        <v>0.25</v>
      </c>
      <c r="CP180" s="2706">
        <f t="shared" si="160"/>
        <v>0.25</v>
      </c>
      <c r="CQ180" s="2706">
        <f t="shared" si="161"/>
        <v>0.25</v>
      </c>
      <c r="CR180" s="2706">
        <f t="shared" si="162"/>
        <v>0.25</v>
      </c>
      <c r="CS180" s="2706">
        <f t="shared" si="163"/>
        <v>0.25</v>
      </c>
      <c r="CT180" s="2722">
        <f t="shared" si="164"/>
        <v>0</v>
      </c>
      <c r="CU180" s="2721">
        <f t="shared" si="165"/>
        <v>0</v>
      </c>
      <c r="CV180" s="2721">
        <f t="shared" si="166"/>
        <v>0</v>
      </c>
      <c r="CX180" s="2010" t="s">
        <v>1389</v>
      </c>
      <c r="CY180" s="1941" t="s">
        <v>2510</v>
      </c>
      <c r="CZ180" s="2011"/>
      <c r="DA180" s="2924">
        <v>0</v>
      </c>
      <c r="DB180" s="2695"/>
      <c r="DC180" s="2695"/>
      <c r="DD180" s="2695"/>
      <c r="DE180" s="2695"/>
      <c r="DF180" s="2695"/>
      <c r="DG180" s="2695"/>
      <c r="DH180" s="2695"/>
      <c r="DI180" s="2695"/>
      <c r="DJ180" s="2695"/>
      <c r="DK180" s="2915"/>
      <c r="DL180" s="2698"/>
      <c r="DM180" s="2698"/>
    </row>
    <row r="181" spans="1:117">
      <c r="B181" s="1916" t="str">
        <f t="shared" si="180"/>
        <v>2.3.4</v>
      </c>
      <c r="C181" s="2894" t="str">
        <f t="shared" si="147"/>
        <v>廃棄物処理負荷抑制</v>
      </c>
      <c r="D181" s="1935" t="e">
        <f t="shared" si="193"/>
        <v>#DIV/0!</v>
      </c>
      <c r="E181" s="1935" t="e">
        <f t="shared" si="193"/>
        <v>#DIV/0!</v>
      </c>
      <c r="G181" s="1936" t="e">
        <f t="shared" si="168"/>
        <v>#DIV/0!</v>
      </c>
      <c r="H181" s="1936" t="e">
        <f t="shared" si="169"/>
        <v>#DIV/0!</v>
      </c>
      <c r="I181" s="1936"/>
      <c r="J181" s="1936"/>
      <c r="K181" s="1936">
        <f>IF(スコア!O181=0,0,1)</f>
        <v>1</v>
      </c>
      <c r="L181" s="1936">
        <f>IF(スコア!R181=0,0,1)</f>
        <v>0</v>
      </c>
      <c r="M181" s="1936" t="e">
        <f t="shared" si="170"/>
        <v>#DIV/0!</v>
      </c>
      <c r="N181" s="1936" t="e">
        <f t="shared" si="182"/>
        <v>#DIV/0!</v>
      </c>
      <c r="P181" s="2010" t="str">
        <f t="shared" si="149"/>
        <v>2.3.4</v>
      </c>
      <c r="Q181" s="1941" t="str">
        <f t="shared" si="150"/>
        <v>LR3 2.3</v>
      </c>
      <c r="R181" s="823" t="str">
        <f t="shared" si="151"/>
        <v>廃棄物処理負荷抑制</v>
      </c>
      <c r="S181" s="2799">
        <f t="shared" si="133"/>
        <v>0.25</v>
      </c>
      <c r="T181" s="2799">
        <f t="shared" si="134"/>
        <v>0.25</v>
      </c>
      <c r="U181" s="2799">
        <f t="shared" si="135"/>
        <v>0.25</v>
      </c>
      <c r="V181" s="2799">
        <f t="shared" si="136"/>
        <v>0.25</v>
      </c>
      <c r="W181" s="2799">
        <f t="shared" si="137"/>
        <v>0.25</v>
      </c>
      <c r="X181" s="2799">
        <f t="shared" si="138"/>
        <v>0.25</v>
      </c>
      <c r="Y181" s="2799">
        <f t="shared" si="139"/>
        <v>0.25</v>
      </c>
      <c r="Z181" s="2799">
        <f t="shared" si="140"/>
        <v>0.25</v>
      </c>
      <c r="AA181" s="2799">
        <f t="shared" si="141"/>
        <v>0.25</v>
      </c>
      <c r="AB181" s="2799">
        <f t="shared" si="142"/>
        <v>0.25</v>
      </c>
      <c r="AC181" s="2812">
        <f t="shared" si="143"/>
        <v>0</v>
      </c>
      <c r="AD181" s="2811">
        <f t="shared" si="144"/>
        <v>0</v>
      </c>
      <c r="AE181" s="2811">
        <f t="shared" si="145"/>
        <v>0</v>
      </c>
      <c r="AG181" s="2010" t="s">
        <v>1714</v>
      </c>
      <c r="AH181" s="1941" t="s">
        <v>2510</v>
      </c>
      <c r="AI181" s="823" t="s">
        <v>1002</v>
      </c>
      <c r="AJ181" s="1944">
        <v>0.25</v>
      </c>
      <c r="AK181" s="1944">
        <v>0.25</v>
      </c>
      <c r="AL181" s="1944">
        <v>0.25</v>
      </c>
      <c r="AM181" s="1944">
        <v>0.25</v>
      </c>
      <c r="AN181" s="1944">
        <v>0.25</v>
      </c>
      <c r="AO181" s="1944">
        <v>0.25</v>
      </c>
      <c r="AP181" s="1944">
        <v>0.25</v>
      </c>
      <c r="AQ181" s="1944">
        <v>0.25</v>
      </c>
      <c r="AR181" s="1944">
        <v>0.25</v>
      </c>
      <c r="AS181" s="1944">
        <v>0.25</v>
      </c>
      <c r="AT181" s="1991"/>
      <c r="AU181" s="1990"/>
      <c r="AV181" s="1990"/>
      <c r="AX181" s="2010" t="s">
        <v>1715</v>
      </c>
      <c r="AY181" s="1941" t="s">
        <v>2510</v>
      </c>
      <c r="AZ181" s="823" t="s">
        <v>1002</v>
      </c>
      <c r="BA181" s="1944">
        <v>0.25</v>
      </c>
      <c r="BB181" s="1944">
        <v>0.25</v>
      </c>
      <c r="BC181" s="1944">
        <v>0.25</v>
      </c>
      <c r="BD181" s="1944">
        <v>0.25</v>
      </c>
      <c r="BE181" s="1944">
        <v>0.25</v>
      </c>
      <c r="BF181" s="1944">
        <v>0.25</v>
      </c>
      <c r="BG181" s="1944">
        <v>0.25</v>
      </c>
      <c r="BH181" s="1944">
        <v>0.25</v>
      </c>
      <c r="BI181" s="1944">
        <v>0.25</v>
      </c>
      <c r="BJ181" s="1944">
        <v>0.25</v>
      </c>
      <c r="BK181" s="1991"/>
      <c r="BL181" s="1990"/>
      <c r="BM181" s="1990"/>
      <c r="BO181" s="2010" t="s">
        <v>1715</v>
      </c>
      <c r="BP181" s="1941" t="s">
        <v>2510</v>
      </c>
      <c r="BQ181" s="823" t="s">
        <v>1002</v>
      </c>
      <c r="BR181" s="1944">
        <v>0.25</v>
      </c>
      <c r="BS181" s="1944">
        <v>0.25</v>
      </c>
      <c r="BT181" s="1944">
        <v>0.25</v>
      </c>
      <c r="BU181" s="1944">
        <v>0.25</v>
      </c>
      <c r="BV181" s="1944">
        <v>0.25</v>
      </c>
      <c r="BW181" s="1944">
        <v>0.25</v>
      </c>
      <c r="BX181" s="1944">
        <v>0.25</v>
      </c>
      <c r="BY181" s="1944">
        <v>0.25</v>
      </c>
      <c r="BZ181" s="1944">
        <v>0.25</v>
      </c>
      <c r="CA181" s="1944">
        <v>0.25</v>
      </c>
      <c r="CB181" s="1991"/>
      <c r="CC181" s="1990"/>
      <c r="CD181" s="1990"/>
      <c r="CE181" s="2275"/>
      <c r="CG181" s="2010" t="s">
        <v>1714</v>
      </c>
      <c r="CH181" s="1941" t="s">
        <v>2510</v>
      </c>
      <c r="CI181" s="2679" t="s">
        <v>1002</v>
      </c>
      <c r="CJ181" s="2706">
        <f t="shared" si="167"/>
        <v>0.25</v>
      </c>
      <c r="CK181" s="2706">
        <f t="shared" si="155"/>
        <v>0.25</v>
      </c>
      <c r="CL181" s="2706">
        <f t="shared" si="156"/>
        <v>0.25</v>
      </c>
      <c r="CM181" s="2706">
        <f t="shared" si="157"/>
        <v>0.25</v>
      </c>
      <c r="CN181" s="2706">
        <f t="shared" si="158"/>
        <v>0.25</v>
      </c>
      <c r="CO181" s="2706">
        <f t="shared" si="159"/>
        <v>0.25</v>
      </c>
      <c r="CP181" s="2706">
        <f t="shared" si="160"/>
        <v>0.25</v>
      </c>
      <c r="CQ181" s="2706">
        <f t="shared" si="161"/>
        <v>0.25</v>
      </c>
      <c r="CR181" s="2706">
        <f t="shared" si="162"/>
        <v>0.25</v>
      </c>
      <c r="CS181" s="2706">
        <f t="shared" si="163"/>
        <v>0.25</v>
      </c>
      <c r="CT181" s="2722">
        <f t="shared" si="164"/>
        <v>0</v>
      </c>
      <c r="CU181" s="2721">
        <f t="shared" si="165"/>
        <v>0</v>
      </c>
      <c r="CV181" s="2721">
        <f t="shared" si="166"/>
        <v>0</v>
      </c>
      <c r="CX181" s="2010" t="s">
        <v>1714</v>
      </c>
      <c r="CY181" s="1941" t="s">
        <v>2510</v>
      </c>
      <c r="CZ181" s="2877"/>
      <c r="DA181" s="2924">
        <v>0</v>
      </c>
      <c r="DB181" s="2695"/>
      <c r="DC181" s="2695"/>
      <c r="DD181" s="2695"/>
      <c r="DE181" s="2695"/>
      <c r="DF181" s="2695"/>
      <c r="DG181" s="2695"/>
      <c r="DH181" s="2695"/>
      <c r="DI181" s="2695"/>
      <c r="DJ181" s="2695"/>
      <c r="DK181" s="2915"/>
      <c r="DL181" s="2698"/>
      <c r="DM181" s="2698"/>
    </row>
    <row r="182" spans="1:117" hidden="1">
      <c r="A182" s="2687"/>
      <c r="B182" s="1916">
        <f t="shared" si="180"/>
        <v>0</v>
      </c>
      <c r="C182" s="2894">
        <f t="shared" si="147"/>
        <v>0</v>
      </c>
      <c r="D182" s="1935" t="e">
        <f>IF(I$174=0,0,G182/I$174)</f>
        <v>#DIV/0!</v>
      </c>
      <c r="E182" s="1935" t="e">
        <f>IF(J$174=0,0,H182/J$174)</f>
        <v>#DIV/0!</v>
      </c>
      <c r="F182" s="2687"/>
      <c r="G182" s="1936" t="e">
        <f>K182*M182</f>
        <v>#DIV/0!</v>
      </c>
      <c r="H182" s="1936" t="e">
        <f t="shared" ref="H182" si="194">L182*N182</f>
        <v>#DIV/0!</v>
      </c>
      <c r="I182" s="1936"/>
      <c r="J182" s="1936"/>
      <c r="K182" s="1936">
        <f>IF(スコア!O182=0,0,1)</f>
        <v>1</v>
      </c>
      <c r="L182" s="1936">
        <f>IF(スコア!R182=0,0,1)</f>
        <v>0</v>
      </c>
      <c r="M182" s="1936" t="e">
        <f t="shared" ref="M182" si="195">SUMPRODUCT($S$7:$AB$7,S182:AB182)</f>
        <v>#DIV/0!</v>
      </c>
      <c r="N182" s="1936" t="e">
        <f t="shared" ref="N182" si="196">(AC$7*AC182)+(AD$7*AD182)+(AE$7*AE182)</f>
        <v>#DIV/0!</v>
      </c>
      <c r="O182" s="2687"/>
      <c r="P182" s="2010">
        <f>IF($P$3=1,AX182,IF($P$3=2,BO182,IF($P$3=3,CG182,IF($P$3=4,CX182,AG182))))</f>
        <v>0</v>
      </c>
      <c r="Q182" s="1941">
        <f t="shared" si="150"/>
        <v>0</v>
      </c>
      <c r="R182" s="2877">
        <f t="shared" si="151"/>
        <v>0</v>
      </c>
      <c r="S182" s="2799">
        <f t="shared" si="133"/>
        <v>0</v>
      </c>
      <c r="T182" s="2799">
        <f t="shared" si="134"/>
        <v>0</v>
      </c>
      <c r="U182" s="2799">
        <f t="shared" si="135"/>
        <v>0</v>
      </c>
      <c r="V182" s="2799">
        <f t="shared" si="136"/>
        <v>0</v>
      </c>
      <c r="W182" s="2799">
        <f t="shared" si="137"/>
        <v>0</v>
      </c>
      <c r="X182" s="2799">
        <f t="shared" si="138"/>
        <v>0</v>
      </c>
      <c r="Y182" s="2799">
        <f t="shared" si="139"/>
        <v>0</v>
      </c>
      <c r="Z182" s="2799">
        <f t="shared" si="140"/>
        <v>0</v>
      </c>
      <c r="AA182" s="2799">
        <f t="shared" si="141"/>
        <v>0</v>
      </c>
      <c r="AB182" s="2799">
        <f t="shared" si="142"/>
        <v>0</v>
      </c>
      <c r="AC182" s="2812">
        <f t="shared" si="143"/>
        <v>0</v>
      </c>
      <c r="AD182" s="2811">
        <f t="shared" si="144"/>
        <v>0</v>
      </c>
      <c r="AE182" s="2811">
        <f t="shared" si="145"/>
        <v>0</v>
      </c>
      <c r="AF182" s="2687"/>
      <c r="AG182" s="2010"/>
      <c r="AH182" s="1941"/>
      <c r="AI182" s="2877"/>
      <c r="AJ182" s="1944"/>
      <c r="AK182" s="1944"/>
      <c r="AL182" s="1944"/>
      <c r="AM182" s="1944"/>
      <c r="AN182" s="1944"/>
      <c r="AO182" s="1944"/>
      <c r="AP182" s="1944"/>
      <c r="AQ182" s="1944"/>
      <c r="AR182" s="1944"/>
      <c r="AS182" s="1944"/>
      <c r="AT182" s="1991"/>
      <c r="AU182" s="1990"/>
      <c r="AV182" s="1990"/>
      <c r="AW182" s="2687"/>
      <c r="AX182" s="2010"/>
      <c r="AY182" s="1941"/>
      <c r="AZ182" s="2877"/>
      <c r="BA182" s="1944"/>
      <c r="BB182" s="1944"/>
      <c r="BC182" s="1944"/>
      <c r="BD182" s="1944"/>
      <c r="BE182" s="1944"/>
      <c r="BF182" s="1944"/>
      <c r="BG182" s="1944"/>
      <c r="BH182" s="1944"/>
      <c r="BI182" s="1944"/>
      <c r="BJ182" s="1944"/>
      <c r="BK182" s="1991"/>
      <c r="BL182" s="1990"/>
      <c r="BM182" s="1990"/>
      <c r="BN182" s="2687"/>
      <c r="BO182" s="2010"/>
      <c r="BP182" s="1941"/>
      <c r="BQ182" s="2877"/>
      <c r="BR182" s="1944"/>
      <c r="BS182" s="1944"/>
      <c r="BT182" s="1944"/>
      <c r="BU182" s="1944"/>
      <c r="BV182" s="1944"/>
      <c r="BW182" s="1944"/>
      <c r="BX182" s="1944"/>
      <c r="BY182" s="1944"/>
      <c r="BZ182" s="1944"/>
      <c r="CA182" s="1944"/>
      <c r="CB182" s="1991"/>
      <c r="CC182" s="1990"/>
      <c r="CD182" s="1990"/>
      <c r="CE182" s="2275"/>
      <c r="CF182" s="2687"/>
      <c r="CG182" s="2010"/>
      <c r="CH182" s="1941"/>
      <c r="CI182" s="2877"/>
      <c r="CJ182" s="2706"/>
      <c r="CK182" s="2706"/>
      <c r="CL182" s="2706"/>
      <c r="CM182" s="2706"/>
      <c r="CN182" s="2706"/>
      <c r="CO182" s="2706"/>
      <c r="CP182" s="2706"/>
      <c r="CQ182" s="2706"/>
      <c r="CR182" s="2706"/>
      <c r="CS182" s="2706"/>
      <c r="CT182" s="2722"/>
      <c r="CU182" s="2721"/>
      <c r="CV182" s="2721"/>
      <c r="CX182" s="2010" t="s">
        <v>3485</v>
      </c>
      <c r="CY182" s="1941" t="s">
        <v>2510</v>
      </c>
      <c r="CZ182" s="2936" t="s">
        <v>1002</v>
      </c>
      <c r="DA182" s="2924">
        <v>1</v>
      </c>
      <c r="DB182" s="2695"/>
      <c r="DC182" s="2695"/>
      <c r="DD182" s="2695"/>
      <c r="DE182" s="2695"/>
      <c r="DF182" s="2695"/>
      <c r="DG182" s="2695"/>
      <c r="DH182" s="2695"/>
      <c r="DI182" s="2695"/>
      <c r="DJ182" s="2695"/>
      <c r="DK182" s="2915"/>
      <c r="DL182" s="2698"/>
      <c r="DM182" s="2698"/>
    </row>
    <row r="183" spans="1:117">
      <c r="B183" s="1916">
        <f t="shared" si="180"/>
        <v>3</v>
      </c>
      <c r="C183" s="1928" t="str">
        <f t="shared" si="147"/>
        <v>周辺環境への配慮</v>
      </c>
      <c r="D183" s="1924" t="e">
        <f>IF(I$172=0,0,G183/I$172)</f>
        <v>#DIV/0!</v>
      </c>
      <c r="E183" s="1924" t="e">
        <f>IF(J$172=0,0,H183/J$172)</f>
        <v>#DIV/0!</v>
      </c>
      <c r="G183" s="1925" t="e">
        <f t="shared" si="168"/>
        <v>#DIV/0!</v>
      </c>
      <c r="H183" s="1925" t="e">
        <f t="shared" si="169"/>
        <v>#DIV/0!</v>
      </c>
      <c r="I183" s="1925" t="e">
        <f>G184+G188+G192</f>
        <v>#DIV/0!</v>
      </c>
      <c r="J183" s="1925" t="e">
        <f>H184+H188+H192</f>
        <v>#DIV/0!</v>
      </c>
      <c r="K183" s="1925" t="e">
        <f>IF(スコア!O183=0,0,1)</f>
        <v>#DIV/0!</v>
      </c>
      <c r="L183" s="1925" t="e">
        <f>IF(スコア!R183=0,0,1)</f>
        <v>#DIV/0!</v>
      </c>
      <c r="M183" s="1925" t="e">
        <f t="shared" si="170"/>
        <v>#DIV/0!</v>
      </c>
      <c r="N183" s="1925" t="e">
        <f t="shared" si="182"/>
        <v>#DIV/0!</v>
      </c>
      <c r="P183" s="2008">
        <f t="shared" si="149"/>
        <v>3</v>
      </c>
      <c r="Q183" s="1931" t="str">
        <f t="shared" si="150"/>
        <v>LR3</v>
      </c>
      <c r="R183" s="1928" t="str">
        <f t="shared" si="151"/>
        <v>周辺環境への配慮</v>
      </c>
      <c r="S183" s="2796">
        <f t="shared" si="133"/>
        <v>0.33333333333333331</v>
      </c>
      <c r="T183" s="2796">
        <f t="shared" si="134"/>
        <v>0.33333333333333331</v>
      </c>
      <c r="U183" s="2796">
        <f t="shared" si="135"/>
        <v>0.33333333333333331</v>
      </c>
      <c r="V183" s="2796">
        <f t="shared" si="136"/>
        <v>0.33333333333333331</v>
      </c>
      <c r="W183" s="2796">
        <f t="shared" si="137"/>
        <v>0.33333333333333331</v>
      </c>
      <c r="X183" s="2796">
        <f t="shared" si="138"/>
        <v>0.33333333333333331</v>
      </c>
      <c r="Y183" s="2796">
        <f t="shared" si="139"/>
        <v>0.33333333333333331</v>
      </c>
      <c r="Z183" s="2796">
        <f t="shared" si="140"/>
        <v>0.33333333333333331</v>
      </c>
      <c r="AA183" s="2796">
        <f t="shared" si="141"/>
        <v>0.33333333333333331</v>
      </c>
      <c r="AB183" s="2796">
        <f t="shared" si="142"/>
        <v>0.33333333333333331</v>
      </c>
      <c r="AC183" s="2798">
        <f t="shared" si="143"/>
        <v>0</v>
      </c>
      <c r="AD183" s="2796">
        <f t="shared" si="144"/>
        <v>0</v>
      </c>
      <c r="AE183" s="2796">
        <f t="shared" si="145"/>
        <v>0</v>
      </c>
      <c r="AG183" s="1927">
        <v>3</v>
      </c>
      <c r="AH183" s="1931" t="s">
        <v>1606</v>
      </c>
      <c r="AI183" s="1928" t="s">
        <v>1003</v>
      </c>
      <c r="AJ183" s="1932">
        <v>0.33333333333333331</v>
      </c>
      <c r="AK183" s="1932">
        <v>0.33333333333333331</v>
      </c>
      <c r="AL183" s="1932">
        <v>0.33333333333333331</v>
      </c>
      <c r="AM183" s="1932">
        <v>0.33333333333333331</v>
      </c>
      <c r="AN183" s="1932">
        <v>0.33333333333333331</v>
      </c>
      <c r="AO183" s="1932">
        <v>0.33333333333333331</v>
      </c>
      <c r="AP183" s="1932">
        <v>0.33333333333333331</v>
      </c>
      <c r="AQ183" s="1932">
        <v>0.33333333333333331</v>
      </c>
      <c r="AR183" s="1932">
        <v>0.33333333333333331</v>
      </c>
      <c r="AS183" s="1932">
        <v>0.33333333333333331</v>
      </c>
      <c r="AT183" s="1933">
        <v>0</v>
      </c>
      <c r="AU183" s="1932">
        <v>0</v>
      </c>
      <c r="AV183" s="1932">
        <v>0</v>
      </c>
      <c r="AX183" s="1927">
        <v>3</v>
      </c>
      <c r="AY183" s="1931" t="s">
        <v>1606</v>
      </c>
      <c r="AZ183" s="1928" t="s">
        <v>1003</v>
      </c>
      <c r="BA183" s="1932">
        <f t="shared" ref="BA183:BJ183" si="197">1/3</f>
        <v>0.33333333333333331</v>
      </c>
      <c r="BB183" s="1932">
        <f t="shared" si="197"/>
        <v>0.33333333333333331</v>
      </c>
      <c r="BC183" s="1932">
        <f t="shared" si="197"/>
        <v>0.33333333333333331</v>
      </c>
      <c r="BD183" s="1932">
        <f t="shared" si="197"/>
        <v>0.33333333333333331</v>
      </c>
      <c r="BE183" s="1932">
        <f t="shared" si="197"/>
        <v>0.33333333333333331</v>
      </c>
      <c r="BF183" s="1932">
        <f t="shared" si="197"/>
        <v>0.33333333333333331</v>
      </c>
      <c r="BG183" s="1932">
        <f t="shared" si="197"/>
        <v>0.33333333333333331</v>
      </c>
      <c r="BH183" s="1932">
        <f t="shared" si="197"/>
        <v>0.33333333333333331</v>
      </c>
      <c r="BI183" s="1932">
        <f t="shared" si="197"/>
        <v>0.33333333333333331</v>
      </c>
      <c r="BJ183" s="1932">
        <f t="shared" si="197"/>
        <v>0.33333333333333331</v>
      </c>
      <c r="BK183" s="1933"/>
      <c r="BL183" s="1932"/>
      <c r="BM183" s="1932"/>
      <c r="BO183" s="1927">
        <v>3</v>
      </c>
      <c r="BP183" s="1931" t="s">
        <v>1606</v>
      </c>
      <c r="BQ183" s="1928" t="s">
        <v>1003</v>
      </c>
      <c r="BR183" s="1932">
        <f t="shared" ref="BR183:CA183" si="198">1/3</f>
        <v>0.33333333333333331</v>
      </c>
      <c r="BS183" s="1932">
        <f t="shared" si="198"/>
        <v>0.33333333333333331</v>
      </c>
      <c r="BT183" s="1932">
        <f t="shared" si="198"/>
        <v>0.33333333333333331</v>
      </c>
      <c r="BU183" s="1932">
        <f t="shared" si="198"/>
        <v>0.33333333333333331</v>
      </c>
      <c r="BV183" s="1932">
        <f t="shared" si="198"/>
        <v>0.33333333333333331</v>
      </c>
      <c r="BW183" s="1932">
        <f t="shared" si="198"/>
        <v>0.33333333333333331</v>
      </c>
      <c r="BX183" s="1932">
        <f t="shared" si="198"/>
        <v>0.33333333333333331</v>
      </c>
      <c r="BY183" s="1932">
        <f t="shared" si="198"/>
        <v>0.33333333333333331</v>
      </c>
      <c r="BZ183" s="1932">
        <f t="shared" si="198"/>
        <v>0.33333333333333331</v>
      </c>
      <c r="CA183" s="1932">
        <f t="shared" si="198"/>
        <v>0.33333333333333331</v>
      </c>
      <c r="CB183" s="1933"/>
      <c r="CC183" s="1932"/>
      <c r="CD183" s="1932"/>
      <c r="CE183" s="2271"/>
      <c r="CG183" s="1927">
        <v>3</v>
      </c>
      <c r="CH183" s="1931" t="s">
        <v>1606</v>
      </c>
      <c r="CI183" s="1928" t="s">
        <v>1003</v>
      </c>
      <c r="CJ183" s="2703">
        <f t="shared" si="167"/>
        <v>0.33333333333333331</v>
      </c>
      <c r="CK183" s="2703">
        <f t="shared" si="155"/>
        <v>0.33333333333333331</v>
      </c>
      <c r="CL183" s="2703">
        <f t="shared" si="156"/>
        <v>0.33333333333333331</v>
      </c>
      <c r="CM183" s="2703">
        <f t="shared" si="157"/>
        <v>0.33333333333333331</v>
      </c>
      <c r="CN183" s="2703">
        <f t="shared" si="158"/>
        <v>0.33333333333333331</v>
      </c>
      <c r="CO183" s="2703">
        <f t="shared" si="159"/>
        <v>0.33333333333333331</v>
      </c>
      <c r="CP183" s="2703">
        <f t="shared" si="160"/>
        <v>0.33333333333333331</v>
      </c>
      <c r="CQ183" s="2703">
        <f t="shared" si="161"/>
        <v>0.33333333333333331</v>
      </c>
      <c r="CR183" s="2703">
        <f t="shared" si="162"/>
        <v>0.33333333333333331</v>
      </c>
      <c r="CS183" s="2703">
        <f t="shared" si="163"/>
        <v>0.33333333333333331</v>
      </c>
      <c r="CT183" s="2705">
        <f t="shared" si="164"/>
        <v>0</v>
      </c>
      <c r="CU183" s="2703">
        <f t="shared" si="165"/>
        <v>0</v>
      </c>
      <c r="CV183" s="2703">
        <f t="shared" si="166"/>
        <v>0</v>
      </c>
      <c r="CX183" s="1927">
        <v>3</v>
      </c>
      <c r="CY183" s="1931" t="s">
        <v>1606</v>
      </c>
      <c r="CZ183" s="1928" t="s">
        <v>1003</v>
      </c>
      <c r="DA183" s="2932">
        <v>0</v>
      </c>
      <c r="DB183" s="2693"/>
      <c r="DC183" s="2693"/>
      <c r="DD183" s="2693"/>
      <c r="DE183" s="2693"/>
      <c r="DF183" s="2693"/>
      <c r="DG183" s="2693"/>
      <c r="DH183" s="2693"/>
      <c r="DI183" s="2693"/>
      <c r="DJ183" s="2693"/>
      <c r="DK183" s="2694"/>
      <c r="DL183" s="2693"/>
      <c r="DM183" s="2693"/>
    </row>
    <row r="184" spans="1:117">
      <c r="B184" s="1916" t="str">
        <f t="shared" si="180"/>
        <v>3.1</v>
      </c>
      <c r="C184" s="1938" t="str">
        <f t="shared" si="147"/>
        <v>騒音・振動・悪臭の防止</v>
      </c>
      <c r="D184" s="1935" t="e">
        <f>IF(I$183=0,0,G184/I$183)</f>
        <v>#DIV/0!</v>
      </c>
      <c r="E184" s="1935" t="e">
        <f>IF(J$183=0,0,H184/J$183)</f>
        <v>#DIV/0!</v>
      </c>
      <c r="G184" s="1936" t="e">
        <f t="shared" si="168"/>
        <v>#DIV/0!</v>
      </c>
      <c r="H184" s="1936" t="e">
        <f t="shared" si="169"/>
        <v>#DIV/0!</v>
      </c>
      <c r="I184" s="1936" t="e">
        <f>SUM(G185:G187)</f>
        <v>#DIV/0!</v>
      </c>
      <c r="J184" s="1936" t="e">
        <f>SUM(H185:H187)</f>
        <v>#DIV/0!</v>
      </c>
      <c r="K184" s="1936" t="e">
        <f>IF(スコア!O184=0,0,1)</f>
        <v>#DIV/0!</v>
      </c>
      <c r="L184" s="1936" t="e">
        <f>IF(スコア!R184=0,0,1)</f>
        <v>#DIV/0!</v>
      </c>
      <c r="M184" s="1936" t="e">
        <f t="shared" si="170"/>
        <v>#DIV/0!</v>
      </c>
      <c r="N184" s="1936" t="e">
        <f t="shared" si="182"/>
        <v>#DIV/0!</v>
      </c>
      <c r="P184" s="2009" t="str">
        <f t="shared" si="149"/>
        <v>3.1</v>
      </c>
      <c r="Q184" s="1941" t="str">
        <f t="shared" si="150"/>
        <v>LR3 3</v>
      </c>
      <c r="R184" s="1938" t="str">
        <f t="shared" si="151"/>
        <v>騒音・振動・悪臭の防止</v>
      </c>
      <c r="S184" s="2811">
        <f t="shared" si="133"/>
        <v>0.4</v>
      </c>
      <c r="T184" s="2811">
        <f t="shared" si="134"/>
        <v>0.4</v>
      </c>
      <c r="U184" s="2811">
        <f t="shared" si="135"/>
        <v>0.4</v>
      </c>
      <c r="V184" s="2811">
        <f t="shared" si="136"/>
        <v>0.4</v>
      </c>
      <c r="W184" s="2811">
        <f t="shared" si="137"/>
        <v>0.4</v>
      </c>
      <c r="X184" s="2811">
        <f t="shared" si="138"/>
        <v>0.4</v>
      </c>
      <c r="Y184" s="2811">
        <f t="shared" si="139"/>
        <v>0.4</v>
      </c>
      <c r="Z184" s="2811">
        <f t="shared" si="140"/>
        <v>0.4</v>
      </c>
      <c r="AA184" s="2811">
        <f t="shared" si="141"/>
        <v>0.4</v>
      </c>
      <c r="AB184" s="2811">
        <f t="shared" si="142"/>
        <v>0.4</v>
      </c>
      <c r="AC184" s="2812">
        <f t="shared" si="143"/>
        <v>0</v>
      </c>
      <c r="AD184" s="2811">
        <f t="shared" si="144"/>
        <v>0</v>
      </c>
      <c r="AE184" s="2811">
        <f t="shared" si="145"/>
        <v>0</v>
      </c>
      <c r="AG184" s="2010" t="s">
        <v>1716</v>
      </c>
      <c r="AH184" s="1941" t="s">
        <v>2511</v>
      </c>
      <c r="AI184" s="1938" t="s">
        <v>1004</v>
      </c>
      <c r="AJ184" s="1990">
        <v>0.4</v>
      </c>
      <c r="AK184" s="1990">
        <v>0.4</v>
      </c>
      <c r="AL184" s="1990">
        <v>0.4</v>
      </c>
      <c r="AM184" s="1990">
        <v>0.4</v>
      </c>
      <c r="AN184" s="1990">
        <v>0.4</v>
      </c>
      <c r="AO184" s="1990">
        <v>0.4</v>
      </c>
      <c r="AP184" s="1990">
        <v>0.4</v>
      </c>
      <c r="AQ184" s="1990">
        <v>0.4</v>
      </c>
      <c r="AR184" s="1990">
        <v>0.4</v>
      </c>
      <c r="AS184" s="1990">
        <v>0.4</v>
      </c>
      <c r="AT184" s="1991"/>
      <c r="AU184" s="1990"/>
      <c r="AV184" s="1990"/>
      <c r="AX184" s="2010" t="s">
        <v>1717</v>
      </c>
      <c r="AY184" s="1941" t="s">
        <v>2511</v>
      </c>
      <c r="AZ184" s="1938" t="s">
        <v>1004</v>
      </c>
      <c r="BA184" s="1990">
        <v>0.4</v>
      </c>
      <c r="BB184" s="1990">
        <v>0.4</v>
      </c>
      <c r="BC184" s="1990">
        <v>0.4</v>
      </c>
      <c r="BD184" s="1990">
        <v>0.4</v>
      </c>
      <c r="BE184" s="1990">
        <v>0.4</v>
      </c>
      <c r="BF184" s="1990">
        <v>0.4</v>
      </c>
      <c r="BG184" s="1990">
        <v>0.4</v>
      </c>
      <c r="BH184" s="1990">
        <v>0.4</v>
      </c>
      <c r="BI184" s="1990">
        <v>0.4</v>
      </c>
      <c r="BJ184" s="1990">
        <v>0.4</v>
      </c>
      <c r="BK184" s="1991"/>
      <c r="BL184" s="1990"/>
      <c r="BM184" s="1990"/>
      <c r="BO184" s="2010" t="s">
        <v>1717</v>
      </c>
      <c r="BP184" s="1941" t="s">
        <v>2511</v>
      </c>
      <c r="BQ184" s="1938" t="s">
        <v>1004</v>
      </c>
      <c r="BR184" s="1990">
        <v>0.4</v>
      </c>
      <c r="BS184" s="1990">
        <v>0.4</v>
      </c>
      <c r="BT184" s="1990">
        <v>0.4</v>
      </c>
      <c r="BU184" s="1990">
        <v>0.4</v>
      </c>
      <c r="BV184" s="1990">
        <v>0.4</v>
      </c>
      <c r="BW184" s="1990">
        <v>0.4</v>
      </c>
      <c r="BX184" s="1990">
        <v>0.4</v>
      </c>
      <c r="BY184" s="1990">
        <v>0.4</v>
      </c>
      <c r="BZ184" s="1990">
        <v>0.4</v>
      </c>
      <c r="CA184" s="1990">
        <v>0.4</v>
      </c>
      <c r="CB184" s="1991"/>
      <c r="CC184" s="1990"/>
      <c r="CD184" s="1990"/>
      <c r="CE184" s="2275"/>
      <c r="CG184" s="2010" t="s">
        <v>1405</v>
      </c>
      <c r="CH184" s="1941" t="s">
        <v>2511</v>
      </c>
      <c r="CI184" s="1938" t="s">
        <v>1004</v>
      </c>
      <c r="CJ184" s="2721">
        <f t="shared" si="167"/>
        <v>0.4</v>
      </c>
      <c r="CK184" s="2721">
        <f t="shared" si="155"/>
        <v>0.4</v>
      </c>
      <c r="CL184" s="2721">
        <f t="shared" si="156"/>
        <v>0.4</v>
      </c>
      <c r="CM184" s="2721">
        <f t="shared" si="157"/>
        <v>0.4</v>
      </c>
      <c r="CN184" s="2721">
        <f t="shared" si="158"/>
        <v>0.4</v>
      </c>
      <c r="CO184" s="2721">
        <f t="shared" si="159"/>
        <v>0.4</v>
      </c>
      <c r="CP184" s="2721">
        <f t="shared" si="160"/>
        <v>0.4</v>
      </c>
      <c r="CQ184" s="2721">
        <f t="shared" si="161"/>
        <v>0.4</v>
      </c>
      <c r="CR184" s="2721">
        <f t="shared" si="162"/>
        <v>0.4</v>
      </c>
      <c r="CS184" s="2721">
        <f t="shared" si="163"/>
        <v>0.4</v>
      </c>
      <c r="CT184" s="2722">
        <f t="shared" si="164"/>
        <v>0</v>
      </c>
      <c r="CU184" s="2721">
        <f t="shared" si="165"/>
        <v>0</v>
      </c>
      <c r="CV184" s="2721">
        <f t="shared" si="166"/>
        <v>0</v>
      </c>
      <c r="CX184" s="2010" t="s">
        <v>1405</v>
      </c>
      <c r="CY184" s="1941" t="s">
        <v>2511</v>
      </c>
      <c r="CZ184" s="1938"/>
      <c r="DA184" s="2924">
        <v>0</v>
      </c>
      <c r="DB184" s="2698"/>
      <c r="DC184" s="2698"/>
      <c r="DD184" s="2698"/>
      <c r="DE184" s="2698"/>
      <c r="DF184" s="2698"/>
      <c r="DG184" s="2698"/>
      <c r="DH184" s="2698"/>
      <c r="DI184" s="2698"/>
      <c r="DJ184" s="2698"/>
      <c r="DK184" s="2915"/>
      <c r="DL184" s="2698"/>
      <c r="DM184" s="2698"/>
    </row>
    <row r="185" spans="1:117">
      <c r="B185" s="1916" t="str">
        <f t="shared" si="180"/>
        <v>3.1.1</v>
      </c>
      <c r="C185" s="1938" t="str">
        <f t="shared" si="147"/>
        <v>騒音</v>
      </c>
      <c r="D185" s="1935" t="e">
        <f t="shared" ref="D185:E187" si="199">IF(I$184=0,0,G185/I$184)</f>
        <v>#DIV/0!</v>
      </c>
      <c r="E185" s="1935" t="e">
        <f t="shared" si="199"/>
        <v>#DIV/0!</v>
      </c>
      <c r="G185" s="1936" t="e">
        <f t="shared" si="168"/>
        <v>#DIV/0!</v>
      </c>
      <c r="H185" s="1936" t="e">
        <f t="shared" si="169"/>
        <v>#DIV/0!</v>
      </c>
      <c r="I185" s="1936"/>
      <c r="J185" s="1936"/>
      <c r="K185" s="1936">
        <f>IF(スコア!O185=0,0,1)</f>
        <v>1</v>
      </c>
      <c r="L185" s="1936">
        <f>IF(スコア!R185=0,0,1)</f>
        <v>0</v>
      </c>
      <c r="M185" s="1936" t="e">
        <f t="shared" si="170"/>
        <v>#DIV/0!</v>
      </c>
      <c r="N185" s="1936" t="e">
        <f t="shared" si="182"/>
        <v>#DIV/0!</v>
      </c>
      <c r="P185" s="2010" t="str">
        <f t="shared" si="149"/>
        <v>3.1.1</v>
      </c>
      <c r="Q185" s="1937" t="str">
        <f t="shared" si="150"/>
        <v>LR3 3.1</v>
      </c>
      <c r="R185" s="1938" t="str">
        <f t="shared" si="151"/>
        <v>騒音</v>
      </c>
      <c r="S185" s="2799">
        <f t="shared" si="133"/>
        <v>0.33333333333333331</v>
      </c>
      <c r="T185" s="2799">
        <f t="shared" si="134"/>
        <v>0.33333333333333331</v>
      </c>
      <c r="U185" s="2799">
        <f t="shared" si="135"/>
        <v>0.33333333333333331</v>
      </c>
      <c r="V185" s="2799">
        <f t="shared" si="136"/>
        <v>0.33333333333333331</v>
      </c>
      <c r="W185" s="2799">
        <f t="shared" si="137"/>
        <v>0.33333333333333331</v>
      </c>
      <c r="X185" s="2799">
        <f t="shared" si="138"/>
        <v>0.33333333333333331</v>
      </c>
      <c r="Y185" s="2799">
        <f t="shared" si="139"/>
        <v>0.33333333333333331</v>
      </c>
      <c r="Z185" s="2799">
        <f t="shared" si="140"/>
        <v>0.33333333333333331</v>
      </c>
      <c r="AA185" s="2799">
        <f t="shared" si="141"/>
        <v>0.33333333333333331</v>
      </c>
      <c r="AB185" s="2799">
        <f t="shared" si="142"/>
        <v>0.33333333333333331</v>
      </c>
      <c r="AC185" s="2800">
        <f t="shared" si="143"/>
        <v>0</v>
      </c>
      <c r="AD185" s="2799">
        <f t="shared" si="144"/>
        <v>0</v>
      </c>
      <c r="AE185" s="2799">
        <f t="shared" si="145"/>
        <v>0</v>
      </c>
      <c r="AG185" s="2010" t="s">
        <v>1718</v>
      </c>
      <c r="AH185" s="1937" t="s">
        <v>2512</v>
      </c>
      <c r="AI185" s="1938" t="s">
        <v>1005</v>
      </c>
      <c r="AJ185" s="1944">
        <v>0.33333333333333331</v>
      </c>
      <c r="AK185" s="1944">
        <v>0.33333333333333331</v>
      </c>
      <c r="AL185" s="1944">
        <v>0.33333333333333331</v>
      </c>
      <c r="AM185" s="1944">
        <v>0.33333333333333331</v>
      </c>
      <c r="AN185" s="1944">
        <v>0.33333333333333331</v>
      </c>
      <c r="AO185" s="1944">
        <v>0.33333333333333331</v>
      </c>
      <c r="AP185" s="1944">
        <v>0.33333333333333331</v>
      </c>
      <c r="AQ185" s="1944">
        <v>0.33333333333333331</v>
      </c>
      <c r="AR185" s="1944">
        <v>0.33333333333333331</v>
      </c>
      <c r="AS185" s="1944">
        <v>0.33333333333333331</v>
      </c>
      <c r="AT185" s="1945"/>
      <c r="AU185" s="1944"/>
      <c r="AV185" s="1944"/>
      <c r="AX185" s="2010" t="s">
        <v>1719</v>
      </c>
      <c r="AY185" s="1937" t="s">
        <v>2512</v>
      </c>
      <c r="AZ185" s="1938" t="s">
        <v>1005</v>
      </c>
      <c r="BA185" s="1944">
        <v>0.33333333333333331</v>
      </c>
      <c r="BB185" s="1944">
        <v>0.33333333333333331</v>
      </c>
      <c r="BC185" s="1944">
        <v>0.33333333333333331</v>
      </c>
      <c r="BD185" s="1944">
        <v>0.33333333333333331</v>
      </c>
      <c r="BE185" s="1944">
        <v>0.33333333333333331</v>
      </c>
      <c r="BF185" s="1944">
        <v>0.33333333333333331</v>
      </c>
      <c r="BG185" s="1944">
        <v>0.33333333333333331</v>
      </c>
      <c r="BH185" s="1944">
        <v>0.33333333333333331</v>
      </c>
      <c r="BI185" s="1944">
        <v>0.33333333333333331</v>
      </c>
      <c r="BJ185" s="1944">
        <v>0.33333333333333331</v>
      </c>
      <c r="BK185" s="1945"/>
      <c r="BL185" s="1944"/>
      <c r="BM185" s="1944"/>
      <c r="BO185" s="2010" t="s">
        <v>1719</v>
      </c>
      <c r="BP185" s="1937" t="s">
        <v>2512</v>
      </c>
      <c r="BQ185" s="1938" t="s">
        <v>1005</v>
      </c>
      <c r="BR185" s="1944">
        <v>0.33333333333333331</v>
      </c>
      <c r="BS185" s="1944">
        <v>0.33333333333333331</v>
      </c>
      <c r="BT185" s="1944">
        <v>0.33333333333333331</v>
      </c>
      <c r="BU185" s="1944">
        <v>0.33333333333333331</v>
      </c>
      <c r="BV185" s="1944">
        <v>0.33333333333333331</v>
      </c>
      <c r="BW185" s="1944">
        <v>0.33333333333333331</v>
      </c>
      <c r="BX185" s="1944">
        <v>0.33333333333333331</v>
      </c>
      <c r="BY185" s="1944">
        <v>0.33333333333333331</v>
      </c>
      <c r="BZ185" s="1944">
        <v>0.33333333333333331</v>
      </c>
      <c r="CA185" s="1944">
        <v>0.33333333333333331</v>
      </c>
      <c r="CB185" s="1944"/>
      <c r="CC185" s="1944"/>
      <c r="CD185" s="1944"/>
      <c r="CE185" s="2272"/>
      <c r="CG185" s="2010" t="s">
        <v>1140</v>
      </c>
      <c r="CH185" s="1937" t="s">
        <v>2512</v>
      </c>
      <c r="CI185" s="1938" t="s">
        <v>1005</v>
      </c>
      <c r="CJ185" s="2706">
        <f t="shared" si="167"/>
        <v>0.33333333333333331</v>
      </c>
      <c r="CK185" s="2706">
        <f t="shared" si="155"/>
        <v>0.33333333333333331</v>
      </c>
      <c r="CL185" s="2706">
        <f t="shared" si="156"/>
        <v>0.33333333333333331</v>
      </c>
      <c r="CM185" s="2706">
        <f t="shared" si="157"/>
        <v>0.33333333333333331</v>
      </c>
      <c r="CN185" s="2706">
        <f t="shared" si="158"/>
        <v>0.33333333333333331</v>
      </c>
      <c r="CO185" s="2706">
        <f t="shared" si="159"/>
        <v>0.33333333333333331</v>
      </c>
      <c r="CP185" s="2706">
        <f t="shared" si="160"/>
        <v>0.33333333333333331</v>
      </c>
      <c r="CQ185" s="2706">
        <f t="shared" si="161"/>
        <v>0.33333333333333331</v>
      </c>
      <c r="CR185" s="2706">
        <f t="shared" si="162"/>
        <v>0.33333333333333331</v>
      </c>
      <c r="CS185" s="2706">
        <f t="shared" si="163"/>
        <v>0.33333333333333331</v>
      </c>
      <c r="CT185" s="2706">
        <f t="shared" si="164"/>
        <v>0</v>
      </c>
      <c r="CU185" s="2706">
        <f t="shared" si="165"/>
        <v>0</v>
      </c>
      <c r="CV185" s="2706">
        <f t="shared" si="166"/>
        <v>0</v>
      </c>
      <c r="CX185" s="2010" t="s">
        <v>1140</v>
      </c>
      <c r="CY185" s="1937" t="s">
        <v>2512</v>
      </c>
      <c r="CZ185" s="1938"/>
      <c r="DA185" s="2924">
        <v>0</v>
      </c>
      <c r="DB185" s="2695"/>
      <c r="DC185" s="2695"/>
      <c r="DD185" s="2695"/>
      <c r="DE185" s="2695"/>
      <c r="DF185" s="2695"/>
      <c r="DG185" s="2695"/>
      <c r="DH185" s="2695"/>
      <c r="DI185" s="2695"/>
      <c r="DJ185" s="2695"/>
      <c r="DK185" s="2695"/>
      <c r="DL185" s="2695"/>
      <c r="DM185" s="2695"/>
    </row>
    <row r="186" spans="1:117">
      <c r="B186" s="1916" t="str">
        <f t="shared" si="180"/>
        <v>3.1.2</v>
      </c>
      <c r="C186" s="1938" t="str">
        <f t="shared" si="147"/>
        <v>振動</v>
      </c>
      <c r="D186" s="1935" t="e">
        <f t="shared" si="199"/>
        <v>#DIV/0!</v>
      </c>
      <c r="E186" s="1935" t="e">
        <f t="shared" si="199"/>
        <v>#DIV/0!</v>
      </c>
      <c r="G186" s="1936" t="e">
        <f t="shared" si="168"/>
        <v>#DIV/0!</v>
      </c>
      <c r="H186" s="1936" t="e">
        <f t="shared" si="169"/>
        <v>#DIV/0!</v>
      </c>
      <c r="I186" s="1936"/>
      <c r="J186" s="1936"/>
      <c r="K186" s="1936">
        <f>IF(スコア!O186=0,0,1)</f>
        <v>1</v>
      </c>
      <c r="L186" s="1936">
        <f>IF(スコア!R186=0,0,1)</f>
        <v>0</v>
      </c>
      <c r="M186" s="1936" t="e">
        <f t="shared" si="170"/>
        <v>#DIV/0!</v>
      </c>
      <c r="N186" s="1936" t="e">
        <f t="shared" si="182"/>
        <v>#DIV/0!</v>
      </c>
      <c r="P186" s="2010" t="str">
        <f t="shared" si="149"/>
        <v>3.1.2</v>
      </c>
      <c r="Q186" s="1937" t="str">
        <f t="shared" si="150"/>
        <v>LR3 3.1</v>
      </c>
      <c r="R186" s="1938" t="str">
        <f t="shared" si="151"/>
        <v>振動</v>
      </c>
      <c r="S186" s="2799">
        <f t="shared" si="133"/>
        <v>0.33333333333333331</v>
      </c>
      <c r="T186" s="2799">
        <f t="shared" si="134"/>
        <v>0.33333333333333331</v>
      </c>
      <c r="U186" s="2799">
        <f t="shared" si="135"/>
        <v>0.33333333333333331</v>
      </c>
      <c r="V186" s="2799">
        <f t="shared" si="136"/>
        <v>0.33333333333333331</v>
      </c>
      <c r="W186" s="2799">
        <f t="shared" si="137"/>
        <v>0.33333333333333331</v>
      </c>
      <c r="X186" s="2799">
        <f t="shared" si="138"/>
        <v>0.33333333333333331</v>
      </c>
      <c r="Y186" s="2799">
        <f t="shared" si="139"/>
        <v>0.33333333333333331</v>
      </c>
      <c r="Z186" s="2799">
        <f t="shared" si="140"/>
        <v>0.33333333333333331</v>
      </c>
      <c r="AA186" s="2799">
        <f t="shared" si="141"/>
        <v>0.33333333333333331</v>
      </c>
      <c r="AB186" s="2799">
        <f t="shared" si="142"/>
        <v>0.33333333333333331</v>
      </c>
      <c r="AC186" s="2800">
        <f t="shared" si="143"/>
        <v>0</v>
      </c>
      <c r="AD186" s="2799">
        <f t="shared" si="144"/>
        <v>0</v>
      </c>
      <c r="AE186" s="2799">
        <f t="shared" si="145"/>
        <v>0</v>
      </c>
      <c r="AG186" s="2010" t="s">
        <v>1720</v>
      </c>
      <c r="AH186" s="1937" t="s">
        <v>2512</v>
      </c>
      <c r="AI186" s="1938" t="s">
        <v>2513</v>
      </c>
      <c r="AJ186" s="1944">
        <v>0.33333333333333331</v>
      </c>
      <c r="AK186" s="1944">
        <v>0.33333333333333331</v>
      </c>
      <c r="AL186" s="1944">
        <v>0.33333333333333331</v>
      </c>
      <c r="AM186" s="1944">
        <v>0.33333333333333331</v>
      </c>
      <c r="AN186" s="1944">
        <v>0.33333333333333331</v>
      </c>
      <c r="AO186" s="1944">
        <v>0.33333333333333331</v>
      </c>
      <c r="AP186" s="1944">
        <v>0.33333333333333331</v>
      </c>
      <c r="AQ186" s="1944">
        <v>0.33333333333333331</v>
      </c>
      <c r="AR186" s="1944">
        <v>0.33333333333333331</v>
      </c>
      <c r="AS186" s="1944">
        <v>0.33333333333333331</v>
      </c>
      <c r="AT186" s="1945"/>
      <c r="AU186" s="1944"/>
      <c r="AV186" s="1944"/>
      <c r="AX186" s="2010" t="s">
        <v>1720</v>
      </c>
      <c r="AY186" s="1937" t="s">
        <v>2512</v>
      </c>
      <c r="AZ186" s="1938" t="s">
        <v>2513</v>
      </c>
      <c r="BA186" s="1944">
        <v>0.33333333333333331</v>
      </c>
      <c r="BB186" s="1944">
        <v>0.33333333333333331</v>
      </c>
      <c r="BC186" s="1944">
        <v>0.33333333333333331</v>
      </c>
      <c r="BD186" s="1944">
        <v>0.33333333333333331</v>
      </c>
      <c r="BE186" s="1944">
        <v>0.33333333333333331</v>
      </c>
      <c r="BF186" s="1944">
        <v>0.33333333333333331</v>
      </c>
      <c r="BG186" s="1944">
        <v>0.33333333333333331</v>
      </c>
      <c r="BH186" s="1944">
        <v>0.33333333333333331</v>
      </c>
      <c r="BI186" s="1944">
        <v>0.33333333333333331</v>
      </c>
      <c r="BJ186" s="1944">
        <v>0.33333333333333331</v>
      </c>
      <c r="BK186" s="1945"/>
      <c r="BL186" s="1944"/>
      <c r="BM186" s="1944"/>
      <c r="BO186" s="2010" t="s">
        <v>1720</v>
      </c>
      <c r="BP186" s="1937" t="s">
        <v>2512</v>
      </c>
      <c r="BQ186" s="1938" t="s">
        <v>2513</v>
      </c>
      <c r="BR186" s="1944">
        <v>0.33333333333333331</v>
      </c>
      <c r="BS186" s="1944">
        <v>0.33333333333333331</v>
      </c>
      <c r="BT186" s="1944">
        <v>0.33333333333333331</v>
      </c>
      <c r="BU186" s="1944">
        <v>0.33333333333333331</v>
      </c>
      <c r="BV186" s="1944">
        <v>0.33333333333333331</v>
      </c>
      <c r="BW186" s="1944">
        <v>0.33333333333333331</v>
      </c>
      <c r="BX186" s="1944">
        <v>0.33333333333333331</v>
      </c>
      <c r="BY186" s="1944">
        <v>0.33333333333333331</v>
      </c>
      <c r="BZ186" s="1944">
        <v>0.33333333333333331</v>
      </c>
      <c r="CA186" s="1944">
        <v>0.33333333333333331</v>
      </c>
      <c r="CB186" s="1944"/>
      <c r="CC186" s="1944"/>
      <c r="CD186" s="1944"/>
      <c r="CE186" s="2272"/>
      <c r="CG186" s="2010" t="s">
        <v>1141</v>
      </c>
      <c r="CH186" s="1937" t="s">
        <v>2512</v>
      </c>
      <c r="CI186" s="1938" t="s">
        <v>2513</v>
      </c>
      <c r="CJ186" s="2706">
        <f t="shared" si="167"/>
        <v>0.33333333333333331</v>
      </c>
      <c r="CK186" s="2706">
        <f t="shared" si="155"/>
        <v>0.33333333333333331</v>
      </c>
      <c r="CL186" s="2706">
        <f t="shared" si="156"/>
        <v>0.33333333333333331</v>
      </c>
      <c r="CM186" s="2706">
        <f t="shared" si="157"/>
        <v>0.33333333333333331</v>
      </c>
      <c r="CN186" s="2706">
        <f t="shared" si="158"/>
        <v>0.33333333333333331</v>
      </c>
      <c r="CO186" s="2706">
        <f t="shared" si="159"/>
        <v>0.33333333333333331</v>
      </c>
      <c r="CP186" s="2706">
        <f t="shared" si="160"/>
        <v>0.33333333333333331</v>
      </c>
      <c r="CQ186" s="2706">
        <f t="shared" si="161"/>
        <v>0.33333333333333331</v>
      </c>
      <c r="CR186" s="2706">
        <f t="shared" si="162"/>
        <v>0.33333333333333331</v>
      </c>
      <c r="CS186" s="2706">
        <f t="shared" si="163"/>
        <v>0.33333333333333331</v>
      </c>
      <c r="CT186" s="2706">
        <f t="shared" si="164"/>
        <v>0</v>
      </c>
      <c r="CU186" s="2706">
        <f t="shared" si="165"/>
        <v>0</v>
      </c>
      <c r="CV186" s="2706">
        <f t="shared" si="166"/>
        <v>0</v>
      </c>
      <c r="CX186" s="2010" t="s">
        <v>1141</v>
      </c>
      <c r="CY186" s="1937" t="s">
        <v>2512</v>
      </c>
      <c r="CZ186" s="1938"/>
      <c r="DA186" s="2924">
        <v>0</v>
      </c>
      <c r="DB186" s="2695"/>
      <c r="DC186" s="2695"/>
      <c r="DD186" s="2695"/>
      <c r="DE186" s="2695"/>
      <c r="DF186" s="2695"/>
      <c r="DG186" s="2695"/>
      <c r="DH186" s="2695"/>
      <c r="DI186" s="2695"/>
      <c r="DJ186" s="2695"/>
      <c r="DK186" s="2695"/>
      <c r="DL186" s="2695"/>
      <c r="DM186" s="2695"/>
    </row>
    <row r="187" spans="1:117">
      <c r="B187" s="1916" t="str">
        <f t="shared" si="180"/>
        <v>3.1.3</v>
      </c>
      <c r="C187" s="1938" t="str">
        <f t="shared" si="147"/>
        <v>悪臭</v>
      </c>
      <c r="D187" s="1935" t="e">
        <f t="shared" si="199"/>
        <v>#DIV/0!</v>
      </c>
      <c r="E187" s="1935" t="e">
        <f t="shared" si="199"/>
        <v>#DIV/0!</v>
      </c>
      <c r="G187" s="1936" t="e">
        <f t="shared" ref="G187:G194" si="200">K187*M187</f>
        <v>#DIV/0!</v>
      </c>
      <c r="H187" s="1936" t="e">
        <f t="shared" ref="H187:H194" si="201">L187*N187</f>
        <v>#DIV/0!</v>
      </c>
      <c r="I187" s="1936"/>
      <c r="J187" s="1936"/>
      <c r="K187" s="1936">
        <f>IF(スコア!O187=0,0,1)</f>
        <v>1</v>
      </c>
      <c r="L187" s="1936">
        <f>IF(スコア!R187=0,0,1)</f>
        <v>0</v>
      </c>
      <c r="M187" s="1936" t="e">
        <f t="shared" ref="M187:M194" si="202">SUMPRODUCT($S$7:$AB$7,S187:AB187)</f>
        <v>#DIV/0!</v>
      </c>
      <c r="N187" s="1936" t="e">
        <f t="shared" si="182"/>
        <v>#DIV/0!</v>
      </c>
      <c r="P187" s="2010" t="str">
        <f t="shared" si="149"/>
        <v>3.1.3</v>
      </c>
      <c r="Q187" s="1937" t="str">
        <f t="shared" si="150"/>
        <v>LR3 3.1</v>
      </c>
      <c r="R187" s="1938" t="str">
        <f t="shared" si="151"/>
        <v>悪臭</v>
      </c>
      <c r="S187" s="2799">
        <f t="shared" si="133"/>
        <v>0.33333333333333331</v>
      </c>
      <c r="T187" s="2799">
        <f t="shared" si="134"/>
        <v>0.33333333333333331</v>
      </c>
      <c r="U187" s="2799">
        <f t="shared" si="135"/>
        <v>0.33333333333333331</v>
      </c>
      <c r="V187" s="2799">
        <f t="shared" si="136"/>
        <v>0.33333333333333331</v>
      </c>
      <c r="W187" s="2799">
        <f t="shared" si="137"/>
        <v>0.33333333333333331</v>
      </c>
      <c r="X187" s="2799">
        <f t="shared" si="138"/>
        <v>0.33333333333333331</v>
      </c>
      <c r="Y187" s="2799">
        <f t="shared" si="139"/>
        <v>0.33333333333333331</v>
      </c>
      <c r="Z187" s="2799">
        <f t="shared" si="140"/>
        <v>0.33333333333333331</v>
      </c>
      <c r="AA187" s="2799">
        <f t="shared" si="141"/>
        <v>0.33333333333333331</v>
      </c>
      <c r="AB187" s="2799">
        <f t="shared" si="142"/>
        <v>0.33333333333333331</v>
      </c>
      <c r="AC187" s="2800">
        <f t="shared" si="143"/>
        <v>0</v>
      </c>
      <c r="AD187" s="2799">
        <f t="shared" si="144"/>
        <v>0</v>
      </c>
      <c r="AE187" s="2799">
        <f t="shared" si="145"/>
        <v>0</v>
      </c>
      <c r="AG187" s="2010" t="s">
        <v>1721</v>
      </c>
      <c r="AH187" s="1937" t="s">
        <v>2512</v>
      </c>
      <c r="AI187" s="1938" t="s">
        <v>2211</v>
      </c>
      <c r="AJ187" s="1944">
        <v>0.33333333333333331</v>
      </c>
      <c r="AK187" s="1944">
        <v>0.33333333333333331</v>
      </c>
      <c r="AL187" s="1944">
        <v>0.33333333333333331</v>
      </c>
      <c r="AM187" s="1944">
        <v>0.33333333333333331</v>
      </c>
      <c r="AN187" s="1944">
        <v>0.33333333333333331</v>
      </c>
      <c r="AO187" s="1944">
        <v>0.33333333333333331</v>
      </c>
      <c r="AP187" s="1944">
        <v>0.33333333333333331</v>
      </c>
      <c r="AQ187" s="1944">
        <v>0.33333333333333331</v>
      </c>
      <c r="AR187" s="1944">
        <v>0.33333333333333331</v>
      </c>
      <c r="AS187" s="1944">
        <v>0.33333333333333331</v>
      </c>
      <c r="AT187" s="1945"/>
      <c r="AU187" s="1944"/>
      <c r="AV187" s="1944"/>
      <c r="AX187" s="2010" t="s">
        <v>1721</v>
      </c>
      <c r="AY187" s="1937" t="s">
        <v>2512</v>
      </c>
      <c r="AZ187" s="1938" t="s">
        <v>2211</v>
      </c>
      <c r="BA187" s="1944">
        <v>0.33333333333333331</v>
      </c>
      <c r="BB187" s="1944">
        <v>0.33333333333333331</v>
      </c>
      <c r="BC187" s="1944">
        <v>0.33333333333333331</v>
      </c>
      <c r="BD187" s="1944">
        <v>0.33333333333333331</v>
      </c>
      <c r="BE187" s="1944">
        <v>0.33333333333333331</v>
      </c>
      <c r="BF187" s="1944">
        <v>0.33333333333333331</v>
      </c>
      <c r="BG187" s="1944">
        <v>0.33333333333333331</v>
      </c>
      <c r="BH187" s="1944">
        <v>0.33333333333333331</v>
      </c>
      <c r="BI187" s="1944">
        <v>0.33333333333333331</v>
      </c>
      <c r="BJ187" s="1944">
        <v>0.33333333333333331</v>
      </c>
      <c r="BK187" s="1945"/>
      <c r="BL187" s="1944"/>
      <c r="BM187" s="1944"/>
      <c r="BO187" s="2010" t="s">
        <v>1721</v>
      </c>
      <c r="BP187" s="1937" t="s">
        <v>2512</v>
      </c>
      <c r="BQ187" s="1938" t="s">
        <v>2211</v>
      </c>
      <c r="BR187" s="1944">
        <v>0.33333333333333331</v>
      </c>
      <c r="BS187" s="1944">
        <v>0.33333333333333331</v>
      </c>
      <c r="BT187" s="1944">
        <v>0.33333333333333331</v>
      </c>
      <c r="BU187" s="1944">
        <v>0.33333333333333331</v>
      </c>
      <c r="BV187" s="1944">
        <v>0.33333333333333331</v>
      </c>
      <c r="BW187" s="1944">
        <v>0.33333333333333331</v>
      </c>
      <c r="BX187" s="1944">
        <v>0.33333333333333331</v>
      </c>
      <c r="BY187" s="1944">
        <v>0.33333333333333331</v>
      </c>
      <c r="BZ187" s="1944">
        <v>0.33333333333333331</v>
      </c>
      <c r="CA187" s="1944">
        <v>0.33333333333333331</v>
      </c>
      <c r="CB187" s="1944"/>
      <c r="CC187" s="1944"/>
      <c r="CD187" s="1944"/>
      <c r="CE187" s="2272"/>
      <c r="CG187" s="2010" t="s">
        <v>1142</v>
      </c>
      <c r="CH187" s="1937" t="s">
        <v>2512</v>
      </c>
      <c r="CI187" s="1938" t="s">
        <v>2211</v>
      </c>
      <c r="CJ187" s="2706">
        <f t="shared" si="167"/>
        <v>0.33333333333333331</v>
      </c>
      <c r="CK187" s="2706">
        <f t="shared" si="155"/>
        <v>0.33333333333333331</v>
      </c>
      <c r="CL187" s="2706">
        <f t="shared" si="156"/>
        <v>0.33333333333333331</v>
      </c>
      <c r="CM187" s="2706">
        <f t="shared" si="157"/>
        <v>0.33333333333333331</v>
      </c>
      <c r="CN187" s="2706">
        <f t="shared" si="158"/>
        <v>0.33333333333333331</v>
      </c>
      <c r="CO187" s="2706">
        <f t="shared" si="159"/>
        <v>0.33333333333333331</v>
      </c>
      <c r="CP187" s="2706">
        <f t="shared" si="160"/>
        <v>0.33333333333333331</v>
      </c>
      <c r="CQ187" s="2706">
        <f t="shared" si="161"/>
        <v>0.33333333333333331</v>
      </c>
      <c r="CR187" s="2706">
        <f t="shared" si="162"/>
        <v>0.33333333333333331</v>
      </c>
      <c r="CS187" s="2706">
        <f t="shared" si="163"/>
        <v>0.33333333333333331</v>
      </c>
      <c r="CT187" s="2706">
        <f t="shared" si="164"/>
        <v>0</v>
      </c>
      <c r="CU187" s="2706">
        <f t="shared" si="165"/>
        <v>0</v>
      </c>
      <c r="CV187" s="2706">
        <f t="shared" si="166"/>
        <v>0</v>
      </c>
      <c r="CX187" s="2010" t="s">
        <v>1142</v>
      </c>
      <c r="CY187" s="1937" t="s">
        <v>2512</v>
      </c>
      <c r="CZ187" s="1938"/>
      <c r="DA187" s="2924">
        <v>0</v>
      </c>
      <c r="DB187" s="2695"/>
      <c r="DC187" s="2695"/>
      <c r="DD187" s="2695"/>
      <c r="DE187" s="2695"/>
      <c r="DF187" s="2695"/>
      <c r="DG187" s="2695"/>
      <c r="DH187" s="2695"/>
      <c r="DI187" s="2695"/>
      <c r="DJ187" s="2695"/>
      <c r="DK187" s="2695"/>
      <c r="DL187" s="2695"/>
      <c r="DM187" s="2695"/>
    </row>
    <row r="188" spans="1:117">
      <c r="B188" s="1916" t="str">
        <f t="shared" si="180"/>
        <v>3.2</v>
      </c>
      <c r="C188" s="1938" t="str">
        <f t="shared" si="147"/>
        <v>風害・砂塵、日照阻害の抑制</v>
      </c>
      <c r="D188" s="1935" t="e">
        <f>IF(I$183=0,0,G188/I$183)</f>
        <v>#DIV/0!</v>
      </c>
      <c r="E188" s="1935" t="e">
        <f>IF(J$183=0,0,H188/J$183)</f>
        <v>#DIV/0!</v>
      </c>
      <c r="G188" s="1936" t="e">
        <f t="shared" si="200"/>
        <v>#DIV/0!</v>
      </c>
      <c r="H188" s="1936" t="e">
        <f t="shared" si="201"/>
        <v>#DIV/0!</v>
      </c>
      <c r="I188" s="1936" t="e">
        <f>SUM(G189:G191)</f>
        <v>#DIV/0!</v>
      </c>
      <c r="J188" s="1936" t="e">
        <f>SUM(H189:H191)</f>
        <v>#DIV/0!</v>
      </c>
      <c r="K188" s="1936" t="e">
        <f>IF(スコア!O188=0,0,1)</f>
        <v>#DIV/0!</v>
      </c>
      <c r="L188" s="1936" t="e">
        <f>IF(スコア!R188=0,0,1)</f>
        <v>#DIV/0!</v>
      </c>
      <c r="M188" s="1936" t="e">
        <f t="shared" si="202"/>
        <v>#DIV/0!</v>
      </c>
      <c r="N188" s="1936" t="e">
        <f t="shared" si="182"/>
        <v>#DIV/0!</v>
      </c>
      <c r="P188" s="2009" t="str">
        <f t="shared" si="149"/>
        <v>3.2</v>
      </c>
      <c r="Q188" s="1941" t="str">
        <f t="shared" si="150"/>
        <v>LR3 3</v>
      </c>
      <c r="R188" s="1938" t="str">
        <f t="shared" si="151"/>
        <v>風害・砂塵、日照阻害の抑制</v>
      </c>
      <c r="S188" s="2811">
        <f t="shared" si="133"/>
        <v>0.4</v>
      </c>
      <c r="T188" s="2811">
        <f t="shared" si="134"/>
        <v>0.4</v>
      </c>
      <c r="U188" s="2811">
        <f t="shared" si="135"/>
        <v>0.4</v>
      </c>
      <c r="V188" s="2811">
        <f t="shared" si="136"/>
        <v>0.4</v>
      </c>
      <c r="W188" s="2811">
        <f t="shared" si="137"/>
        <v>0.4</v>
      </c>
      <c r="X188" s="2811">
        <f t="shared" si="138"/>
        <v>0.4</v>
      </c>
      <c r="Y188" s="2811">
        <f t="shared" si="139"/>
        <v>0.4</v>
      </c>
      <c r="Z188" s="2811">
        <f t="shared" si="140"/>
        <v>0.4</v>
      </c>
      <c r="AA188" s="2811">
        <f t="shared" si="141"/>
        <v>0.4</v>
      </c>
      <c r="AB188" s="2811">
        <f t="shared" si="142"/>
        <v>0.4</v>
      </c>
      <c r="AC188" s="2812">
        <f t="shared" si="143"/>
        <v>0</v>
      </c>
      <c r="AD188" s="2811">
        <f t="shared" si="144"/>
        <v>0</v>
      </c>
      <c r="AE188" s="2811">
        <f t="shared" si="145"/>
        <v>0</v>
      </c>
      <c r="AG188" s="2010" t="s">
        <v>1722</v>
      </c>
      <c r="AH188" s="1941" t="s">
        <v>2511</v>
      </c>
      <c r="AI188" s="1938" t="s">
        <v>1723</v>
      </c>
      <c r="AJ188" s="1990">
        <v>0.4</v>
      </c>
      <c r="AK188" s="1990">
        <v>0.4</v>
      </c>
      <c r="AL188" s="1990">
        <v>0.4</v>
      </c>
      <c r="AM188" s="1990">
        <v>0.4</v>
      </c>
      <c r="AN188" s="1990">
        <v>0.4</v>
      </c>
      <c r="AO188" s="1990">
        <v>0.4</v>
      </c>
      <c r="AP188" s="1990">
        <v>0.4</v>
      </c>
      <c r="AQ188" s="1990">
        <v>0.4</v>
      </c>
      <c r="AR188" s="1990">
        <v>0.4</v>
      </c>
      <c r="AS188" s="1990">
        <v>0.4</v>
      </c>
      <c r="AT188" s="1991"/>
      <c r="AU188" s="1990"/>
      <c r="AV188" s="1990"/>
      <c r="AX188" s="2010" t="s">
        <v>1722</v>
      </c>
      <c r="AY188" s="1941" t="s">
        <v>2511</v>
      </c>
      <c r="AZ188" s="1938" t="s">
        <v>749</v>
      </c>
      <c r="BA188" s="1990">
        <v>0.4</v>
      </c>
      <c r="BB188" s="1990">
        <v>0.4</v>
      </c>
      <c r="BC188" s="1990">
        <v>0.4</v>
      </c>
      <c r="BD188" s="1990">
        <v>0.4</v>
      </c>
      <c r="BE188" s="1990">
        <v>0.4</v>
      </c>
      <c r="BF188" s="1990">
        <v>0.4</v>
      </c>
      <c r="BG188" s="1990">
        <v>0.4</v>
      </c>
      <c r="BH188" s="1990">
        <v>0.4</v>
      </c>
      <c r="BI188" s="1990">
        <v>0.4</v>
      </c>
      <c r="BJ188" s="1990">
        <v>0.4</v>
      </c>
      <c r="BK188" s="1991"/>
      <c r="BL188" s="1990"/>
      <c r="BM188" s="1990"/>
      <c r="BO188" s="2010" t="s">
        <v>1722</v>
      </c>
      <c r="BP188" s="1941" t="s">
        <v>2511</v>
      </c>
      <c r="BQ188" s="1938" t="s">
        <v>748</v>
      </c>
      <c r="BR188" s="1990">
        <v>0.4</v>
      </c>
      <c r="BS188" s="1990">
        <v>0.4</v>
      </c>
      <c r="BT188" s="1990">
        <v>0.4</v>
      </c>
      <c r="BU188" s="1990">
        <v>0.4</v>
      </c>
      <c r="BV188" s="1990">
        <v>0.4</v>
      </c>
      <c r="BW188" s="1990">
        <v>0.4</v>
      </c>
      <c r="BX188" s="1990">
        <v>0.4</v>
      </c>
      <c r="BY188" s="1990">
        <v>0.4</v>
      </c>
      <c r="BZ188" s="1990">
        <v>0.4</v>
      </c>
      <c r="CA188" s="1990">
        <v>0.4</v>
      </c>
      <c r="CB188" s="1991"/>
      <c r="CC188" s="1990"/>
      <c r="CD188" s="1990"/>
      <c r="CE188" s="2275"/>
      <c r="CG188" s="2010" t="s">
        <v>1407</v>
      </c>
      <c r="CH188" s="1941" t="s">
        <v>2511</v>
      </c>
      <c r="CI188" s="1938" t="s">
        <v>748</v>
      </c>
      <c r="CJ188" s="2721">
        <f t="shared" si="167"/>
        <v>0.4</v>
      </c>
      <c r="CK188" s="2721">
        <f t="shared" si="155"/>
        <v>0.4</v>
      </c>
      <c r="CL188" s="2721">
        <f t="shared" si="156"/>
        <v>0.4</v>
      </c>
      <c r="CM188" s="2721">
        <f t="shared" si="157"/>
        <v>0.4</v>
      </c>
      <c r="CN188" s="2721">
        <f t="shared" si="158"/>
        <v>0.4</v>
      </c>
      <c r="CO188" s="2721">
        <f t="shared" si="159"/>
        <v>0.4</v>
      </c>
      <c r="CP188" s="2721">
        <f t="shared" si="160"/>
        <v>0.4</v>
      </c>
      <c r="CQ188" s="2721">
        <f t="shared" si="161"/>
        <v>0.4</v>
      </c>
      <c r="CR188" s="2721">
        <f t="shared" si="162"/>
        <v>0.4</v>
      </c>
      <c r="CS188" s="2721">
        <f t="shared" si="163"/>
        <v>0.4</v>
      </c>
      <c r="CT188" s="2722">
        <f t="shared" si="164"/>
        <v>0</v>
      </c>
      <c r="CU188" s="2721">
        <f t="shared" si="165"/>
        <v>0</v>
      </c>
      <c r="CV188" s="2721">
        <f t="shared" si="166"/>
        <v>0</v>
      </c>
      <c r="CX188" s="2010" t="s">
        <v>1407</v>
      </c>
      <c r="CY188" s="1941" t="s">
        <v>2511</v>
      </c>
      <c r="CZ188" s="1938"/>
      <c r="DA188" s="2924">
        <v>0</v>
      </c>
      <c r="DB188" s="2698"/>
      <c r="DC188" s="2698"/>
      <c r="DD188" s="2698"/>
      <c r="DE188" s="2698"/>
      <c r="DF188" s="2698"/>
      <c r="DG188" s="2698"/>
      <c r="DH188" s="2698"/>
      <c r="DI188" s="2698"/>
      <c r="DJ188" s="2698"/>
      <c r="DK188" s="2915"/>
      <c r="DL188" s="2698"/>
      <c r="DM188" s="2698"/>
    </row>
    <row r="189" spans="1:117">
      <c r="B189" s="1916" t="str">
        <f t="shared" ref="B189:B194" si="203">P189</f>
        <v>3.2.1</v>
      </c>
      <c r="C189" s="2011" t="str">
        <f t="shared" si="147"/>
        <v>風害の抑制</v>
      </c>
      <c r="D189" s="1935" t="e">
        <f t="shared" ref="D189:E191" si="204">IF(I$188=0,0,G189/I$188)</f>
        <v>#DIV/0!</v>
      </c>
      <c r="E189" s="1935" t="e">
        <f t="shared" si="204"/>
        <v>#DIV/0!</v>
      </c>
      <c r="G189" s="1936" t="e">
        <f t="shared" si="200"/>
        <v>#DIV/0!</v>
      </c>
      <c r="H189" s="1936" t="e">
        <f t="shared" si="201"/>
        <v>#DIV/0!</v>
      </c>
      <c r="I189" s="1936"/>
      <c r="J189" s="1936"/>
      <c r="K189" s="1936">
        <f>IF(スコア!O189=0,0,1)</f>
        <v>1</v>
      </c>
      <c r="L189" s="1936">
        <f>IF(スコア!R189=0,0,1)</f>
        <v>0</v>
      </c>
      <c r="M189" s="1936" t="e">
        <f t="shared" si="202"/>
        <v>#DIV/0!</v>
      </c>
      <c r="N189" s="1936" t="e">
        <f t="shared" si="182"/>
        <v>#DIV/0!</v>
      </c>
      <c r="P189" s="2010" t="str">
        <f t="shared" si="149"/>
        <v>3.2.1</v>
      </c>
      <c r="Q189" s="1941" t="str">
        <f t="shared" si="150"/>
        <v>LR3 3.2</v>
      </c>
      <c r="R189" s="2011" t="str">
        <f t="shared" si="151"/>
        <v>風害の抑制</v>
      </c>
      <c r="S189" s="2799">
        <f t="shared" si="133"/>
        <v>0.7</v>
      </c>
      <c r="T189" s="2799">
        <f t="shared" si="134"/>
        <v>0.7</v>
      </c>
      <c r="U189" s="2799">
        <f t="shared" si="135"/>
        <v>0.7</v>
      </c>
      <c r="V189" s="2799">
        <f t="shared" si="136"/>
        <v>0.7</v>
      </c>
      <c r="W189" s="2799">
        <f t="shared" si="137"/>
        <v>0.7</v>
      </c>
      <c r="X189" s="2799">
        <f t="shared" si="138"/>
        <v>0.7</v>
      </c>
      <c r="Y189" s="2799">
        <f t="shared" si="139"/>
        <v>0.7</v>
      </c>
      <c r="Z189" s="2799">
        <f t="shared" si="140"/>
        <v>0.7</v>
      </c>
      <c r="AA189" s="2799">
        <f t="shared" si="141"/>
        <v>0.7</v>
      </c>
      <c r="AB189" s="2799">
        <f t="shared" si="142"/>
        <v>0.6</v>
      </c>
      <c r="AC189" s="2812">
        <f t="shared" si="143"/>
        <v>0</v>
      </c>
      <c r="AD189" s="2811">
        <f t="shared" si="144"/>
        <v>0</v>
      </c>
      <c r="AE189" s="2811">
        <f t="shared" si="145"/>
        <v>0</v>
      </c>
      <c r="AG189" s="2010" t="s">
        <v>1724</v>
      </c>
      <c r="AH189" s="1941" t="s">
        <v>2212</v>
      </c>
      <c r="AI189" s="2011" t="s">
        <v>1725</v>
      </c>
      <c r="AJ189" s="1944">
        <v>0.7</v>
      </c>
      <c r="AK189" s="1944">
        <v>0.7</v>
      </c>
      <c r="AL189" s="1944">
        <v>0.7</v>
      </c>
      <c r="AM189" s="1944">
        <v>0.7</v>
      </c>
      <c r="AN189" s="1944">
        <v>0.7</v>
      </c>
      <c r="AO189" s="1944">
        <v>0.7</v>
      </c>
      <c r="AP189" s="1944">
        <v>0.7</v>
      </c>
      <c r="AQ189" s="1944">
        <v>0.7</v>
      </c>
      <c r="AR189" s="1944">
        <v>0.7</v>
      </c>
      <c r="AS189" s="1958">
        <v>0.6</v>
      </c>
      <c r="AT189" s="1991"/>
      <c r="AU189" s="1990"/>
      <c r="AV189" s="1990"/>
      <c r="AX189" s="2010" t="s">
        <v>1724</v>
      </c>
      <c r="AY189" s="1941" t="s">
        <v>2212</v>
      </c>
      <c r="AZ189" s="2011" t="s">
        <v>1725</v>
      </c>
      <c r="BA189" s="1944">
        <v>0.7</v>
      </c>
      <c r="BB189" s="1944">
        <v>0.7</v>
      </c>
      <c r="BC189" s="1944">
        <v>0.7</v>
      </c>
      <c r="BD189" s="1944">
        <v>0.7</v>
      </c>
      <c r="BE189" s="1944">
        <v>0.7</v>
      </c>
      <c r="BF189" s="1944">
        <v>0.7</v>
      </c>
      <c r="BG189" s="1944">
        <v>0.7</v>
      </c>
      <c r="BH189" s="1944">
        <v>0.7</v>
      </c>
      <c r="BI189" s="1944">
        <v>0.7</v>
      </c>
      <c r="BJ189" s="1990">
        <v>0.6</v>
      </c>
      <c r="BK189" s="1991"/>
      <c r="BL189" s="1990"/>
      <c r="BM189" s="1990"/>
      <c r="BO189" s="2010" t="s">
        <v>1724</v>
      </c>
      <c r="BP189" s="1941" t="s">
        <v>2212</v>
      </c>
      <c r="BQ189" s="2011" t="s">
        <v>1725</v>
      </c>
      <c r="BR189" s="1944">
        <v>0.7</v>
      </c>
      <c r="BS189" s="1944">
        <v>0.7</v>
      </c>
      <c r="BT189" s="1944">
        <v>0.7</v>
      </c>
      <c r="BU189" s="1944">
        <v>0.7</v>
      </c>
      <c r="BV189" s="1944">
        <v>0.7</v>
      </c>
      <c r="BW189" s="1944">
        <v>0.7</v>
      </c>
      <c r="BX189" s="1944">
        <v>0.7</v>
      </c>
      <c r="BY189" s="1944">
        <v>0.7</v>
      </c>
      <c r="BZ189" s="1944">
        <v>0.7</v>
      </c>
      <c r="CA189" s="1990">
        <v>0.6</v>
      </c>
      <c r="CB189" s="1991"/>
      <c r="CC189" s="1990"/>
      <c r="CD189" s="1990"/>
      <c r="CE189" s="2275"/>
      <c r="CG189" s="2010" t="s">
        <v>1143</v>
      </c>
      <c r="CH189" s="1941" t="s">
        <v>2212</v>
      </c>
      <c r="CI189" s="2011" t="s">
        <v>1725</v>
      </c>
      <c r="CJ189" s="2706">
        <f t="shared" si="167"/>
        <v>0.7</v>
      </c>
      <c r="CK189" s="2706">
        <f t="shared" si="155"/>
        <v>0.7</v>
      </c>
      <c r="CL189" s="2706">
        <f t="shared" si="156"/>
        <v>0.7</v>
      </c>
      <c r="CM189" s="2706">
        <f t="shared" si="157"/>
        <v>0.7</v>
      </c>
      <c r="CN189" s="2706">
        <f t="shared" si="158"/>
        <v>0.7</v>
      </c>
      <c r="CO189" s="2706">
        <f t="shared" si="159"/>
        <v>0.7</v>
      </c>
      <c r="CP189" s="2706">
        <f t="shared" si="160"/>
        <v>0.7</v>
      </c>
      <c r="CQ189" s="2706">
        <f t="shared" si="161"/>
        <v>0.7</v>
      </c>
      <c r="CR189" s="2706">
        <f t="shared" si="162"/>
        <v>0.7</v>
      </c>
      <c r="CS189" s="2721">
        <f t="shared" si="163"/>
        <v>0.6</v>
      </c>
      <c r="CT189" s="2722">
        <f t="shared" si="164"/>
        <v>0</v>
      </c>
      <c r="CU189" s="2721">
        <f t="shared" si="165"/>
        <v>0</v>
      </c>
      <c r="CV189" s="2721">
        <f t="shared" si="166"/>
        <v>0</v>
      </c>
      <c r="CX189" s="2010" t="s">
        <v>1143</v>
      </c>
      <c r="CY189" s="1941" t="s">
        <v>2212</v>
      </c>
      <c r="CZ189" s="2011"/>
      <c r="DA189" s="2924">
        <v>0</v>
      </c>
      <c r="DB189" s="2695"/>
      <c r="DC189" s="2695"/>
      <c r="DD189" s="2695"/>
      <c r="DE189" s="2695"/>
      <c r="DF189" s="2695"/>
      <c r="DG189" s="2695"/>
      <c r="DH189" s="2695"/>
      <c r="DI189" s="2695"/>
      <c r="DJ189" s="2698"/>
      <c r="DK189" s="2915"/>
      <c r="DL189" s="2698"/>
      <c r="DM189" s="2698"/>
    </row>
    <row r="190" spans="1:117">
      <c r="B190" s="1916" t="str">
        <f t="shared" si="203"/>
        <v>3.2.2</v>
      </c>
      <c r="C190" s="2011" t="str">
        <f t="shared" si="147"/>
        <v>砂塵の抑制</v>
      </c>
      <c r="D190" s="1935" t="e">
        <f t="shared" si="204"/>
        <v>#DIV/0!</v>
      </c>
      <c r="E190" s="1935" t="e">
        <f t="shared" si="204"/>
        <v>#DIV/0!</v>
      </c>
      <c r="G190" s="1936" t="e">
        <f t="shared" si="200"/>
        <v>#DIV/0!</v>
      </c>
      <c r="H190" s="1936" t="e">
        <f t="shared" si="201"/>
        <v>#DIV/0!</v>
      </c>
      <c r="I190" s="1936"/>
      <c r="J190" s="1936"/>
      <c r="K190" s="1936">
        <f>IF(スコア!O190=0,0,1)</f>
        <v>1</v>
      </c>
      <c r="L190" s="1936">
        <f>IF(スコア!R190=0,0,1)</f>
        <v>0</v>
      </c>
      <c r="M190" s="1936" t="e">
        <f t="shared" si="202"/>
        <v>#DIV/0!</v>
      </c>
      <c r="N190" s="1936" t="e">
        <f t="shared" si="182"/>
        <v>#DIV/0!</v>
      </c>
      <c r="P190" s="2010" t="str">
        <f t="shared" si="149"/>
        <v>3.2.2</v>
      </c>
      <c r="Q190" s="1941" t="str">
        <f t="shared" si="150"/>
        <v>LR3 3.2</v>
      </c>
      <c r="R190" s="2011" t="str">
        <f t="shared" si="151"/>
        <v>砂塵の抑制</v>
      </c>
      <c r="S190" s="2799">
        <f t="shared" si="133"/>
        <v>0</v>
      </c>
      <c r="T190" s="2799">
        <f t="shared" si="134"/>
        <v>0</v>
      </c>
      <c r="U190" s="2799">
        <f t="shared" si="135"/>
        <v>0</v>
      </c>
      <c r="V190" s="2799">
        <f t="shared" si="136"/>
        <v>0</v>
      </c>
      <c r="W190" s="2799">
        <f t="shared" si="137"/>
        <v>0</v>
      </c>
      <c r="X190" s="2799">
        <f t="shared" si="138"/>
        <v>0</v>
      </c>
      <c r="Y190" s="2799">
        <f t="shared" si="139"/>
        <v>0</v>
      </c>
      <c r="Z190" s="2799">
        <f t="shared" si="140"/>
        <v>0</v>
      </c>
      <c r="AA190" s="2799">
        <f t="shared" si="141"/>
        <v>0</v>
      </c>
      <c r="AB190" s="2799">
        <f t="shared" si="142"/>
        <v>0.2</v>
      </c>
      <c r="AC190" s="2812">
        <f t="shared" si="143"/>
        <v>0</v>
      </c>
      <c r="AD190" s="2811">
        <f t="shared" si="144"/>
        <v>0</v>
      </c>
      <c r="AE190" s="2811">
        <f t="shared" si="145"/>
        <v>0</v>
      </c>
      <c r="AG190" s="2010" t="s">
        <v>2542</v>
      </c>
      <c r="AH190" s="1941" t="s">
        <v>2213</v>
      </c>
      <c r="AI190" s="2011" t="s">
        <v>1006</v>
      </c>
      <c r="AJ190" s="1944"/>
      <c r="AK190" s="1944"/>
      <c r="AL190" s="1944"/>
      <c r="AM190" s="1944"/>
      <c r="AN190" s="1944"/>
      <c r="AO190" s="1944"/>
      <c r="AP190" s="1944"/>
      <c r="AQ190" s="1944"/>
      <c r="AR190" s="1944"/>
      <c r="AS190" s="1958">
        <v>0.2</v>
      </c>
      <c r="AT190" s="1991"/>
      <c r="AU190" s="1990"/>
      <c r="AV190" s="1990"/>
      <c r="AX190" s="2010" t="s">
        <v>1726</v>
      </c>
      <c r="AY190" s="1941" t="s">
        <v>1727</v>
      </c>
      <c r="AZ190" s="2011" t="s">
        <v>1006</v>
      </c>
      <c r="BA190" s="1944"/>
      <c r="BB190" s="1944"/>
      <c r="BC190" s="1944"/>
      <c r="BD190" s="1944"/>
      <c r="BE190" s="1944"/>
      <c r="BF190" s="1944"/>
      <c r="BG190" s="1944"/>
      <c r="BH190" s="1944"/>
      <c r="BI190" s="1944"/>
      <c r="BJ190" s="1990">
        <v>0.2</v>
      </c>
      <c r="BK190" s="1991"/>
      <c r="BL190" s="1990"/>
      <c r="BM190" s="1990"/>
      <c r="BO190" s="2010" t="s">
        <v>1726</v>
      </c>
      <c r="BP190" s="1941" t="s">
        <v>1727</v>
      </c>
      <c r="BQ190" s="2011" t="s">
        <v>1006</v>
      </c>
      <c r="BR190" s="1944"/>
      <c r="BS190" s="1944"/>
      <c r="BT190" s="1944"/>
      <c r="BU190" s="1944"/>
      <c r="BV190" s="1944"/>
      <c r="BW190" s="1944"/>
      <c r="BX190" s="1944"/>
      <c r="BY190" s="1944"/>
      <c r="BZ190" s="1944"/>
      <c r="CA190" s="1990">
        <v>0.2</v>
      </c>
      <c r="CB190" s="1991"/>
      <c r="CC190" s="1990"/>
      <c r="CD190" s="1990"/>
      <c r="CE190" s="2275"/>
      <c r="CG190" s="2010" t="s">
        <v>1144</v>
      </c>
      <c r="CH190" s="1941" t="s">
        <v>1727</v>
      </c>
      <c r="CI190" s="2011" t="s">
        <v>1006</v>
      </c>
      <c r="CJ190" s="2706">
        <f t="shared" si="167"/>
        <v>0</v>
      </c>
      <c r="CK190" s="2706">
        <f t="shared" si="155"/>
        <v>0</v>
      </c>
      <c r="CL190" s="2706">
        <f t="shared" si="156"/>
        <v>0</v>
      </c>
      <c r="CM190" s="2706">
        <f t="shared" si="157"/>
        <v>0</v>
      </c>
      <c r="CN190" s="2706">
        <f t="shared" si="158"/>
        <v>0</v>
      </c>
      <c r="CO190" s="2706">
        <f t="shared" si="159"/>
        <v>0</v>
      </c>
      <c r="CP190" s="2706">
        <f t="shared" si="160"/>
        <v>0</v>
      </c>
      <c r="CQ190" s="2706">
        <f t="shared" si="161"/>
        <v>0</v>
      </c>
      <c r="CR190" s="2706">
        <f t="shared" si="162"/>
        <v>0</v>
      </c>
      <c r="CS190" s="2721">
        <f t="shared" si="163"/>
        <v>0.2</v>
      </c>
      <c r="CT190" s="2722">
        <f t="shared" si="164"/>
        <v>0</v>
      </c>
      <c r="CU190" s="2721">
        <f t="shared" si="165"/>
        <v>0</v>
      </c>
      <c r="CV190" s="2721">
        <f t="shared" si="166"/>
        <v>0</v>
      </c>
      <c r="CX190" s="2010" t="s">
        <v>1144</v>
      </c>
      <c r="CY190" s="1941" t="s">
        <v>1727</v>
      </c>
      <c r="CZ190" s="2011"/>
      <c r="DA190" s="2695">
        <f t="shared" si="153"/>
        <v>0</v>
      </c>
      <c r="DB190" s="2695"/>
      <c r="DC190" s="2695"/>
      <c r="DD190" s="2695"/>
      <c r="DE190" s="2695"/>
      <c r="DF190" s="2695"/>
      <c r="DG190" s="2695"/>
      <c r="DH190" s="2695"/>
      <c r="DI190" s="2695"/>
      <c r="DJ190" s="2698"/>
      <c r="DK190" s="2915"/>
      <c r="DL190" s="2698"/>
      <c r="DM190" s="2698"/>
    </row>
    <row r="191" spans="1:117">
      <c r="B191" s="1916" t="str">
        <f t="shared" si="203"/>
        <v>3.2.3</v>
      </c>
      <c r="C191" s="2011" t="str">
        <f t="shared" si="147"/>
        <v>日照阻害の抑制</v>
      </c>
      <c r="D191" s="1935" t="e">
        <f t="shared" si="204"/>
        <v>#DIV/0!</v>
      </c>
      <c r="E191" s="1935" t="e">
        <f t="shared" si="204"/>
        <v>#DIV/0!</v>
      </c>
      <c r="G191" s="1936" t="e">
        <f t="shared" si="200"/>
        <v>#DIV/0!</v>
      </c>
      <c r="H191" s="1936" t="e">
        <f t="shared" si="201"/>
        <v>#DIV/0!</v>
      </c>
      <c r="I191" s="1936"/>
      <c r="J191" s="1936"/>
      <c r="K191" s="1936">
        <f>IF(スコア!O191=0,0,1)</f>
        <v>1</v>
      </c>
      <c r="L191" s="1936">
        <f>IF(スコア!R191=0,0,1)</f>
        <v>0</v>
      </c>
      <c r="M191" s="1936" t="e">
        <f t="shared" si="202"/>
        <v>#DIV/0!</v>
      </c>
      <c r="N191" s="1936" t="e">
        <f t="shared" si="182"/>
        <v>#DIV/0!</v>
      </c>
      <c r="P191" s="2010" t="str">
        <f t="shared" si="149"/>
        <v>3.2.3</v>
      </c>
      <c r="Q191" s="1941" t="str">
        <f t="shared" si="150"/>
        <v>LR3 3.2</v>
      </c>
      <c r="R191" s="2011" t="str">
        <f t="shared" si="151"/>
        <v>日照阻害の抑制</v>
      </c>
      <c r="S191" s="2799">
        <f t="shared" si="133"/>
        <v>0.3</v>
      </c>
      <c r="T191" s="2799">
        <f t="shared" si="134"/>
        <v>0.3</v>
      </c>
      <c r="U191" s="2799">
        <f t="shared" si="135"/>
        <v>0.3</v>
      </c>
      <c r="V191" s="2799">
        <f t="shared" si="136"/>
        <v>0.3</v>
      </c>
      <c r="W191" s="2799">
        <f t="shared" si="137"/>
        <v>0.3</v>
      </c>
      <c r="X191" s="2799">
        <f t="shared" si="138"/>
        <v>0.3</v>
      </c>
      <c r="Y191" s="2799">
        <f t="shared" si="139"/>
        <v>0.3</v>
      </c>
      <c r="Z191" s="2799">
        <f t="shared" si="140"/>
        <v>0.3</v>
      </c>
      <c r="AA191" s="2799">
        <f t="shared" si="141"/>
        <v>0.3</v>
      </c>
      <c r="AB191" s="2799">
        <f t="shared" si="142"/>
        <v>0.2</v>
      </c>
      <c r="AC191" s="2812">
        <f t="shared" si="143"/>
        <v>0</v>
      </c>
      <c r="AD191" s="2811">
        <f t="shared" si="144"/>
        <v>0</v>
      </c>
      <c r="AE191" s="2811">
        <f t="shared" si="145"/>
        <v>0</v>
      </c>
      <c r="AG191" s="2010" t="s">
        <v>1726</v>
      </c>
      <c r="AH191" s="1941" t="s">
        <v>2212</v>
      </c>
      <c r="AI191" s="2011" t="s">
        <v>1950</v>
      </c>
      <c r="AJ191" s="1944">
        <v>0.3</v>
      </c>
      <c r="AK191" s="1944">
        <v>0.3</v>
      </c>
      <c r="AL191" s="1944">
        <v>0.3</v>
      </c>
      <c r="AM191" s="1944">
        <v>0.3</v>
      </c>
      <c r="AN191" s="1944">
        <v>0.3</v>
      </c>
      <c r="AO191" s="1944">
        <v>0.3</v>
      </c>
      <c r="AP191" s="1944">
        <v>0.3</v>
      </c>
      <c r="AQ191" s="1944">
        <v>0.3</v>
      </c>
      <c r="AR191" s="1944">
        <v>0.3</v>
      </c>
      <c r="AS191" s="1958">
        <v>0.2</v>
      </c>
      <c r="AT191" s="1991"/>
      <c r="AU191" s="1990"/>
      <c r="AV191" s="1990"/>
      <c r="AX191" s="2010" t="s">
        <v>1728</v>
      </c>
      <c r="AY191" s="1941" t="s">
        <v>2212</v>
      </c>
      <c r="AZ191" s="2011" t="s">
        <v>1950</v>
      </c>
      <c r="BA191" s="1944">
        <v>0.3</v>
      </c>
      <c r="BB191" s="1944">
        <v>0.3</v>
      </c>
      <c r="BC191" s="1944">
        <v>0.3</v>
      </c>
      <c r="BD191" s="1944">
        <v>0.3</v>
      </c>
      <c r="BE191" s="1944">
        <v>0.3</v>
      </c>
      <c r="BF191" s="1944">
        <v>0.3</v>
      </c>
      <c r="BG191" s="1944">
        <v>0.3</v>
      </c>
      <c r="BH191" s="1944">
        <v>0.3</v>
      </c>
      <c r="BI191" s="1944">
        <v>0.3</v>
      </c>
      <c r="BJ191" s="1990">
        <v>0.2</v>
      </c>
      <c r="BK191" s="1991"/>
      <c r="BL191" s="1990"/>
      <c r="BM191" s="1990"/>
      <c r="BO191" s="2010" t="s">
        <v>1728</v>
      </c>
      <c r="BP191" s="1941" t="s">
        <v>2212</v>
      </c>
      <c r="BQ191" s="2011" t="s">
        <v>1950</v>
      </c>
      <c r="BR191" s="1944">
        <v>0.3</v>
      </c>
      <c r="BS191" s="1944">
        <v>0.3</v>
      </c>
      <c r="BT191" s="1944">
        <v>0.3</v>
      </c>
      <c r="BU191" s="1944">
        <v>0.3</v>
      </c>
      <c r="BV191" s="1944">
        <v>0.3</v>
      </c>
      <c r="BW191" s="1944">
        <v>0.3</v>
      </c>
      <c r="BX191" s="1944">
        <v>0.3</v>
      </c>
      <c r="BY191" s="1944">
        <v>0.3</v>
      </c>
      <c r="BZ191" s="1944">
        <v>0.3</v>
      </c>
      <c r="CA191" s="1990">
        <v>0.2</v>
      </c>
      <c r="CB191" s="1991"/>
      <c r="CC191" s="1990"/>
      <c r="CD191" s="1990"/>
      <c r="CE191" s="2275"/>
      <c r="CG191" s="2010" t="s">
        <v>1145</v>
      </c>
      <c r="CH191" s="1941" t="s">
        <v>2212</v>
      </c>
      <c r="CI191" s="2011" t="s">
        <v>1950</v>
      </c>
      <c r="CJ191" s="2706">
        <f t="shared" si="167"/>
        <v>0.3</v>
      </c>
      <c r="CK191" s="2706">
        <f t="shared" si="155"/>
        <v>0.3</v>
      </c>
      <c r="CL191" s="2706">
        <f t="shared" si="156"/>
        <v>0.3</v>
      </c>
      <c r="CM191" s="2706">
        <f t="shared" si="157"/>
        <v>0.3</v>
      </c>
      <c r="CN191" s="2706">
        <f t="shared" si="158"/>
        <v>0.3</v>
      </c>
      <c r="CO191" s="2706">
        <f t="shared" si="159"/>
        <v>0.3</v>
      </c>
      <c r="CP191" s="2706">
        <f t="shared" si="160"/>
        <v>0.3</v>
      </c>
      <c r="CQ191" s="2706">
        <f t="shared" si="161"/>
        <v>0.3</v>
      </c>
      <c r="CR191" s="2706">
        <f t="shared" si="162"/>
        <v>0.3</v>
      </c>
      <c r="CS191" s="2721">
        <f t="shared" si="163"/>
        <v>0.2</v>
      </c>
      <c r="CT191" s="2722">
        <f t="shared" si="164"/>
        <v>0</v>
      </c>
      <c r="CU191" s="2721">
        <f t="shared" si="165"/>
        <v>0</v>
      </c>
      <c r="CV191" s="2721">
        <f t="shared" si="166"/>
        <v>0</v>
      </c>
      <c r="CX191" s="2010" t="s">
        <v>1145</v>
      </c>
      <c r="CY191" s="1941" t="s">
        <v>2212</v>
      </c>
      <c r="CZ191" s="2011"/>
      <c r="DA191" s="2924">
        <v>0</v>
      </c>
      <c r="DB191" s="2695"/>
      <c r="DC191" s="2695"/>
      <c r="DD191" s="2695"/>
      <c r="DE191" s="2695"/>
      <c r="DF191" s="2695"/>
      <c r="DG191" s="2695"/>
      <c r="DH191" s="2695"/>
      <c r="DI191" s="2695"/>
      <c r="DJ191" s="2698"/>
      <c r="DK191" s="2915"/>
      <c r="DL191" s="2698"/>
      <c r="DM191" s="2698"/>
    </row>
    <row r="192" spans="1:117">
      <c r="B192" s="1916" t="str">
        <f t="shared" si="203"/>
        <v>3.3</v>
      </c>
      <c r="C192" s="1938" t="str">
        <f t="shared" si="147"/>
        <v>光害の抑制</v>
      </c>
      <c r="D192" s="1935" t="e">
        <f>IF(I$183=0,0,G192/I$183)</f>
        <v>#DIV/0!</v>
      </c>
      <c r="E192" s="1935" t="e">
        <f>IF(J$183=0,0,H192/J$183)</f>
        <v>#DIV/0!</v>
      </c>
      <c r="G192" s="1936" t="e">
        <f t="shared" si="200"/>
        <v>#DIV/0!</v>
      </c>
      <c r="H192" s="1936" t="e">
        <f t="shared" si="201"/>
        <v>#DIV/0!</v>
      </c>
      <c r="I192" s="1936" t="e">
        <f>SUM(G193:G194)</f>
        <v>#DIV/0!</v>
      </c>
      <c r="J192" s="1936" t="e">
        <f>SUM(H193:H194)</f>
        <v>#DIV/0!</v>
      </c>
      <c r="K192" s="1936" t="e">
        <f>IF(スコア!O192=0,0,1)</f>
        <v>#DIV/0!</v>
      </c>
      <c r="L192" s="1936" t="e">
        <f>IF(スコア!R192=0,0,1)</f>
        <v>#DIV/0!</v>
      </c>
      <c r="M192" s="1936" t="e">
        <f t="shared" si="202"/>
        <v>#DIV/0!</v>
      </c>
      <c r="N192" s="1936" t="e">
        <f t="shared" si="182"/>
        <v>#DIV/0!</v>
      </c>
      <c r="P192" s="2009" t="str">
        <f t="shared" si="149"/>
        <v>3.3</v>
      </c>
      <c r="Q192" s="1941" t="str">
        <f t="shared" si="150"/>
        <v>LR3 3</v>
      </c>
      <c r="R192" s="1938" t="str">
        <f t="shared" si="151"/>
        <v>光害の抑制</v>
      </c>
      <c r="S192" s="2811">
        <f t="shared" ref="S192:S194" si="205">IF($P$3=1,BA192,IF($P$3=2,BR192,IF($P$3=3,CJ192,IF($P$3=4,DA192,AJ192))))</f>
        <v>0.2</v>
      </c>
      <c r="T192" s="2811">
        <f t="shared" ref="T192:T194" si="206">IF($P$3=1,BB192,IF($P$3=2,BS192,IF($P$3=3,CK192,IF($P$3=4,DB192,AK192))))</f>
        <v>0.2</v>
      </c>
      <c r="U192" s="2811">
        <f t="shared" ref="U192:U194" si="207">IF($P$3=1,BC192,IF($P$3=2,BT192,IF($P$3=3,CL192,IF($P$3=4,DC192,AL192))))</f>
        <v>0.2</v>
      </c>
      <c r="V192" s="2811">
        <f t="shared" ref="V192:V194" si="208">IF($P$3=1,BD192,IF($P$3=2,BU192,IF($P$3=3,CM192,IF($P$3=4,DD192,AM192))))</f>
        <v>0.2</v>
      </c>
      <c r="W192" s="2811">
        <f t="shared" ref="W192:W194" si="209">IF($P$3=1,BE192,IF($P$3=2,BV192,IF($P$3=3,CN192,IF($P$3=4,DE192,AN192))))</f>
        <v>0.2</v>
      </c>
      <c r="X192" s="2811">
        <f t="shared" ref="X192:X194" si="210">IF($P$3=1,BF192,IF($P$3=2,BW192,IF($P$3=3,CO192,IF($P$3=4,DF192,AO192))))</f>
        <v>0.2</v>
      </c>
      <c r="Y192" s="2811">
        <f t="shared" ref="Y192:Y194" si="211">IF($P$3=1,BG192,IF($P$3=2,BX192,IF($P$3=3,CP192,IF($P$3=4,DG192,AP192))))</f>
        <v>0.2</v>
      </c>
      <c r="Z192" s="2811">
        <f t="shared" ref="Z192:Z194" si="212">IF($P$3=1,BH192,IF($P$3=2,BY192,IF($P$3=3,CQ192,IF($P$3=4,DH192,AQ192))))</f>
        <v>0.2</v>
      </c>
      <c r="AA192" s="2811">
        <f t="shared" ref="AA192:AA194" si="213">IF($P$3=1,BI192,IF($P$3=2,BZ192,IF($P$3=3,CR192,IF($P$3=4,DI192,AR192))))</f>
        <v>0.2</v>
      </c>
      <c r="AB192" s="2811">
        <f t="shared" ref="AB192:AB194" si="214">IF($P$3=1,BJ192,IF($P$3=2,CA192,IF($P$3=3,CS192,IF($P$3=4,DJ192,AS192))))</f>
        <v>0.2</v>
      </c>
      <c r="AC192" s="2812">
        <f t="shared" ref="AC192:AC194" si="215">IF($P$3=1,BK192,IF($P$3=2,CB192,IF($P$3=3,CT192,IF($P$3=4,DK192,AT192))))</f>
        <v>0</v>
      </c>
      <c r="AD192" s="2811">
        <f t="shared" ref="AD192:AD194" si="216">IF($P$3=1,BL192,IF($P$3=2,CC192,IF($P$3=3,CU192,IF($P$3=4,DL192,AU192))))</f>
        <v>0</v>
      </c>
      <c r="AE192" s="2811">
        <f t="shared" ref="AE192:AE194" si="217">IF($P$3=1,BM192,IF($P$3=2,CD192,IF($P$3=3,CV192,IF($P$3=4,DM192,AV192))))</f>
        <v>0</v>
      </c>
      <c r="AG192" s="2010" t="s">
        <v>1729</v>
      </c>
      <c r="AH192" s="1941" t="s">
        <v>2511</v>
      </c>
      <c r="AI192" s="2011" t="s">
        <v>2214</v>
      </c>
      <c r="AJ192" s="1944">
        <v>0.2</v>
      </c>
      <c r="AK192" s="1944">
        <v>0.2</v>
      </c>
      <c r="AL192" s="1944">
        <v>0.2</v>
      </c>
      <c r="AM192" s="1944">
        <v>0.2</v>
      </c>
      <c r="AN192" s="1944">
        <v>0.2</v>
      </c>
      <c r="AO192" s="1944">
        <v>0.2</v>
      </c>
      <c r="AP192" s="1944">
        <v>0.2</v>
      </c>
      <c r="AQ192" s="1944">
        <v>0.2</v>
      </c>
      <c r="AR192" s="1944">
        <v>0.2</v>
      </c>
      <c r="AS192" s="1990">
        <v>0.2</v>
      </c>
      <c r="AT192" s="1991"/>
      <c r="AU192" s="1990"/>
      <c r="AV192" s="1990"/>
      <c r="AX192" s="2010" t="s">
        <v>1729</v>
      </c>
      <c r="AY192" s="1941" t="s">
        <v>2511</v>
      </c>
      <c r="AZ192" s="2011" t="s">
        <v>2214</v>
      </c>
      <c r="BA192" s="1990">
        <v>0.2</v>
      </c>
      <c r="BB192" s="1990">
        <v>0.2</v>
      </c>
      <c r="BC192" s="1990">
        <v>0.2</v>
      </c>
      <c r="BD192" s="1990">
        <v>0.2</v>
      </c>
      <c r="BE192" s="1990">
        <v>0.2</v>
      </c>
      <c r="BF192" s="1990">
        <v>0.2</v>
      </c>
      <c r="BG192" s="1990">
        <v>0.2</v>
      </c>
      <c r="BH192" s="1990">
        <v>0.2</v>
      </c>
      <c r="BI192" s="1990">
        <v>0.2</v>
      </c>
      <c r="BJ192" s="1990">
        <v>0.2</v>
      </c>
      <c r="BK192" s="1991"/>
      <c r="BL192" s="1990"/>
      <c r="BM192" s="1990"/>
      <c r="BO192" s="2010" t="s">
        <v>1729</v>
      </c>
      <c r="BP192" s="1941" t="s">
        <v>2511</v>
      </c>
      <c r="BQ192" s="2011" t="s">
        <v>2214</v>
      </c>
      <c r="BR192" s="1990">
        <v>0.2</v>
      </c>
      <c r="BS192" s="1990">
        <v>0.2</v>
      </c>
      <c r="BT192" s="1990">
        <v>0.2</v>
      </c>
      <c r="BU192" s="1990">
        <v>0.2</v>
      </c>
      <c r="BV192" s="1990">
        <v>0.2</v>
      </c>
      <c r="BW192" s="1990">
        <v>0.2</v>
      </c>
      <c r="BX192" s="1990">
        <v>0.2</v>
      </c>
      <c r="BY192" s="1990">
        <v>0.2</v>
      </c>
      <c r="BZ192" s="1990">
        <v>0.2</v>
      </c>
      <c r="CA192" s="1990">
        <v>0.2</v>
      </c>
      <c r="CB192" s="1991"/>
      <c r="CC192" s="1990"/>
      <c r="CD192" s="1990"/>
      <c r="CE192" s="2275"/>
      <c r="CG192" s="2010" t="s">
        <v>1729</v>
      </c>
      <c r="CH192" s="1941" t="s">
        <v>2511</v>
      </c>
      <c r="CI192" s="2011" t="s">
        <v>2214</v>
      </c>
      <c r="CJ192" s="2721">
        <f t="shared" si="167"/>
        <v>0.2</v>
      </c>
      <c r="CK192" s="2721">
        <f t="shared" si="155"/>
        <v>0.2</v>
      </c>
      <c r="CL192" s="2721">
        <f t="shared" si="156"/>
        <v>0.2</v>
      </c>
      <c r="CM192" s="2721">
        <f t="shared" si="157"/>
        <v>0.2</v>
      </c>
      <c r="CN192" s="2721">
        <f t="shared" si="158"/>
        <v>0.2</v>
      </c>
      <c r="CO192" s="2721">
        <f t="shared" si="159"/>
        <v>0.2</v>
      </c>
      <c r="CP192" s="2721">
        <f t="shared" si="160"/>
        <v>0.2</v>
      </c>
      <c r="CQ192" s="2721">
        <f t="shared" si="161"/>
        <v>0.2</v>
      </c>
      <c r="CR192" s="2721">
        <f t="shared" si="162"/>
        <v>0.2</v>
      </c>
      <c r="CS192" s="2721">
        <f t="shared" si="163"/>
        <v>0.2</v>
      </c>
      <c r="CT192" s="2722">
        <f t="shared" si="164"/>
        <v>0</v>
      </c>
      <c r="CU192" s="2721">
        <f t="shared" si="165"/>
        <v>0</v>
      </c>
      <c r="CV192" s="2721">
        <f t="shared" si="166"/>
        <v>0</v>
      </c>
      <c r="CX192" s="2010" t="s">
        <v>1729</v>
      </c>
      <c r="CY192" s="1941" t="s">
        <v>2511</v>
      </c>
      <c r="CZ192" s="2011"/>
      <c r="DA192" s="2924">
        <v>0</v>
      </c>
      <c r="DB192" s="2698"/>
      <c r="DC192" s="2698"/>
      <c r="DD192" s="2698"/>
      <c r="DE192" s="2698"/>
      <c r="DF192" s="2698"/>
      <c r="DG192" s="2698"/>
      <c r="DH192" s="2698"/>
      <c r="DI192" s="2698"/>
      <c r="DJ192" s="2698"/>
      <c r="DK192" s="2915"/>
      <c r="DL192" s="2698"/>
      <c r="DM192" s="2698"/>
    </row>
    <row r="193" spans="2:117">
      <c r="B193" s="1916" t="str">
        <f t="shared" si="203"/>
        <v>3.3.1</v>
      </c>
      <c r="C193" s="2011" t="str">
        <f t="shared" si="147"/>
        <v>屋外照明及び屋内照明のうち外に漏れる光への対策</v>
      </c>
      <c r="D193" s="1935" t="e">
        <f>IF(I$192=0,0,G193/I$192)</f>
        <v>#DIV/0!</v>
      </c>
      <c r="E193" s="1935" t="e">
        <f>IF(J$192=0,0,H193/J$192)</f>
        <v>#DIV/0!</v>
      </c>
      <c r="G193" s="1936" t="e">
        <f t="shared" si="200"/>
        <v>#DIV/0!</v>
      </c>
      <c r="H193" s="1936" t="e">
        <f t="shared" si="201"/>
        <v>#DIV/0!</v>
      </c>
      <c r="I193" s="1936"/>
      <c r="J193" s="1936"/>
      <c r="K193" s="1936">
        <f>IF(スコア!O193=0,0,1)</f>
        <v>1</v>
      </c>
      <c r="L193" s="1936">
        <f>IF(スコア!R193=0,0,1)</f>
        <v>0</v>
      </c>
      <c r="M193" s="1936" t="e">
        <f t="shared" si="202"/>
        <v>#DIV/0!</v>
      </c>
      <c r="N193" s="1936" t="e">
        <f t="shared" si="182"/>
        <v>#DIV/0!</v>
      </c>
      <c r="P193" s="2010" t="str">
        <f t="shared" si="149"/>
        <v>3.3.1</v>
      </c>
      <c r="Q193" s="1941" t="str">
        <f t="shared" si="150"/>
        <v>LR3 3.3</v>
      </c>
      <c r="R193" s="2011" t="str">
        <f t="shared" si="151"/>
        <v>屋外照明及び屋内照明のうち外に漏れる光への対策</v>
      </c>
      <c r="S193" s="2799">
        <f t="shared" si="205"/>
        <v>0.7</v>
      </c>
      <c r="T193" s="2799">
        <f t="shared" si="206"/>
        <v>0.7</v>
      </c>
      <c r="U193" s="2799">
        <f t="shared" si="207"/>
        <v>0.7</v>
      </c>
      <c r="V193" s="2799">
        <f t="shared" si="208"/>
        <v>0.7</v>
      </c>
      <c r="W193" s="2799">
        <f t="shared" si="209"/>
        <v>0.7</v>
      </c>
      <c r="X193" s="2799">
        <f t="shared" si="210"/>
        <v>0.7</v>
      </c>
      <c r="Y193" s="2799">
        <f t="shared" si="211"/>
        <v>0.7</v>
      </c>
      <c r="Z193" s="2799">
        <f t="shared" si="212"/>
        <v>0.7</v>
      </c>
      <c r="AA193" s="2799">
        <f t="shared" si="213"/>
        <v>0.7</v>
      </c>
      <c r="AB193" s="2799">
        <f t="shared" si="214"/>
        <v>0.7</v>
      </c>
      <c r="AC193" s="2812">
        <f t="shared" si="215"/>
        <v>0</v>
      </c>
      <c r="AD193" s="2811">
        <f t="shared" si="216"/>
        <v>0</v>
      </c>
      <c r="AE193" s="2811">
        <f t="shared" si="217"/>
        <v>0</v>
      </c>
      <c r="AG193" s="2010" t="s">
        <v>1730</v>
      </c>
      <c r="AH193" s="1941" t="s">
        <v>2213</v>
      </c>
      <c r="AI193" s="2011" t="s">
        <v>1731</v>
      </c>
      <c r="AJ193" s="1990">
        <v>0.7</v>
      </c>
      <c r="AK193" s="1990">
        <v>0.7</v>
      </c>
      <c r="AL193" s="1990">
        <v>0.7</v>
      </c>
      <c r="AM193" s="1990">
        <v>0.7</v>
      </c>
      <c r="AN193" s="1990">
        <v>0.7</v>
      </c>
      <c r="AO193" s="1990">
        <v>0.7</v>
      </c>
      <c r="AP193" s="1990">
        <v>0.7</v>
      </c>
      <c r="AQ193" s="1990">
        <v>0.7</v>
      </c>
      <c r="AR193" s="1990">
        <v>0.7</v>
      </c>
      <c r="AS193" s="1944">
        <v>0.7</v>
      </c>
      <c r="AT193" s="1991"/>
      <c r="AU193" s="1990"/>
      <c r="AV193" s="1990"/>
      <c r="AX193" s="2010" t="s">
        <v>1730</v>
      </c>
      <c r="AY193" s="1941" t="s">
        <v>2213</v>
      </c>
      <c r="AZ193" s="2011" t="s">
        <v>1731</v>
      </c>
      <c r="BA193" s="1944">
        <v>0.7</v>
      </c>
      <c r="BB193" s="1944">
        <v>0.7</v>
      </c>
      <c r="BC193" s="1944">
        <v>0.7</v>
      </c>
      <c r="BD193" s="1944">
        <v>0.7</v>
      </c>
      <c r="BE193" s="1944">
        <v>0.7</v>
      </c>
      <c r="BF193" s="1944">
        <v>0.7</v>
      </c>
      <c r="BG193" s="1944">
        <v>0.7</v>
      </c>
      <c r="BH193" s="1944">
        <v>0.7</v>
      </c>
      <c r="BI193" s="1944">
        <v>0.7</v>
      </c>
      <c r="BJ193" s="1944">
        <v>0.7</v>
      </c>
      <c r="BK193" s="1991"/>
      <c r="BL193" s="1990"/>
      <c r="BM193" s="1990"/>
      <c r="BO193" s="2010" t="s">
        <v>1730</v>
      </c>
      <c r="BP193" s="1941" t="s">
        <v>2213</v>
      </c>
      <c r="BQ193" s="2011" t="s">
        <v>1731</v>
      </c>
      <c r="BR193" s="1944">
        <v>0.7</v>
      </c>
      <c r="BS193" s="1944">
        <v>0.7</v>
      </c>
      <c r="BT193" s="1944">
        <v>0.7</v>
      </c>
      <c r="BU193" s="1944">
        <v>0.7</v>
      </c>
      <c r="BV193" s="1944">
        <v>0.7</v>
      </c>
      <c r="BW193" s="1944">
        <v>0.7</v>
      </c>
      <c r="BX193" s="1944">
        <v>0.7</v>
      </c>
      <c r="BY193" s="1944">
        <v>0.7</v>
      </c>
      <c r="BZ193" s="1944">
        <v>0.7</v>
      </c>
      <c r="CA193" s="1944">
        <v>0.7</v>
      </c>
      <c r="CB193" s="1991"/>
      <c r="CC193" s="1990"/>
      <c r="CD193" s="1990"/>
      <c r="CE193" s="2275"/>
      <c r="CG193" s="2010" t="s">
        <v>1395</v>
      </c>
      <c r="CH193" s="1941" t="s">
        <v>2213</v>
      </c>
      <c r="CI193" s="2011" t="s">
        <v>1731</v>
      </c>
      <c r="CJ193" s="2706">
        <f t="shared" si="167"/>
        <v>0.7</v>
      </c>
      <c r="CK193" s="2706">
        <f t="shared" si="155"/>
        <v>0.7</v>
      </c>
      <c r="CL193" s="2706">
        <f t="shared" si="156"/>
        <v>0.7</v>
      </c>
      <c r="CM193" s="2706">
        <f t="shared" si="157"/>
        <v>0.7</v>
      </c>
      <c r="CN193" s="2706">
        <f t="shared" si="158"/>
        <v>0.7</v>
      </c>
      <c r="CO193" s="2706">
        <f t="shared" si="159"/>
        <v>0.7</v>
      </c>
      <c r="CP193" s="2706">
        <f t="shared" si="160"/>
        <v>0.7</v>
      </c>
      <c r="CQ193" s="2706">
        <f t="shared" si="161"/>
        <v>0.7</v>
      </c>
      <c r="CR193" s="2706">
        <f t="shared" si="162"/>
        <v>0.7</v>
      </c>
      <c r="CS193" s="2706">
        <f t="shared" si="163"/>
        <v>0.7</v>
      </c>
      <c r="CT193" s="2722">
        <f t="shared" si="164"/>
        <v>0</v>
      </c>
      <c r="CU193" s="2721">
        <f t="shared" si="165"/>
        <v>0</v>
      </c>
      <c r="CV193" s="2721">
        <f t="shared" si="166"/>
        <v>0</v>
      </c>
      <c r="CX193" s="2010" t="s">
        <v>1395</v>
      </c>
      <c r="CY193" s="1941" t="s">
        <v>2213</v>
      </c>
      <c r="CZ193" s="2011"/>
      <c r="DA193" s="2924">
        <v>0</v>
      </c>
      <c r="DB193" s="2695"/>
      <c r="DC193" s="2695"/>
      <c r="DD193" s="2695"/>
      <c r="DE193" s="2695"/>
      <c r="DF193" s="2695"/>
      <c r="DG193" s="2695"/>
      <c r="DH193" s="2695"/>
      <c r="DI193" s="2695"/>
      <c r="DJ193" s="2695"/>
      <c r="DK193" s="2915"/>
      <c r="DL193" s="2698"/>
      <c r="DM193" s="2698"/>
    </row>
    <row r="194" spans="2:117">
      <c r="B194" s="1916" t="str">
        <f t="shared" si="203"/>
        <v>3.3.2</v>
      </c>
      <c r="C194" s="2011" t="str">
        <f t="shared" si="147"/>
        <v>昼光の建物外壁による反射光（グレア）への対策</v>
      </c>
      <c r="D194" s="1935" t="e">
        <f>IF(I$192=0,0,G194/I$192)</f>
        <v>#DIV/0!</v>
      </c>
      <c r="E194" s="1935" t="e">
        <f>IF(J$192=0,0,H194/J$192)</f>
        <v>#DIV/0!</v>
      </c>
      <c r="G194" s="1936" t="e">
        <f t="shared" si="200"/>
        <v>#DIV/0!</v>
      </c>
      <c r="H194" s="1936" t="e">
        <f t="shared" si="201"/>
        <v>#DIV/0!</v>
      </c>
      <c r="I194" s="1936"/>
      <c r="J194" s="1936"/>
      <c r="K194" s="1936">
        <f>IF(スコア!O194=0,0,1)</f>
        <v>1</v>
      </c>
      <c r="L194" s="1936">
        <f>IF(スコア!R194=0,0,1)</f>
        <v>0</v>
      </c>
      <c r="M194" s="1936" t="e">
        <f t="shared" si="202"/>
        <v>#DIV/0!</v>
      </c>
      <c r="N194" s="1936" t="e">
        <f t="shared" si="182"/>
        <v>#DIV/0!</v>
      </c>
      <c r="P194" s="2010" t="str">
        <f t="shared" si="149"/>
        <v>3.3.2</v>
      </c>
      <c r="Q194" s="1941" t="str">
        <f t="shared" si="150"/>
        <v>LR3 3.3</v>
      </c>
      <c r="R194" s="2011" t="str">
        <f t="shared" si="151"/>
        <v>昼光の建物外壁による反射光（グレア）への対策</v>
      </c>
      <c r="S194" s="2799">
        <f t="shared" si="205"/>
        <v>0.3</v>
      </c>
      <c r="T194" s="2799">
        <f t="shared" si="206"/>
        <v>0.3</v>
      </c>
      <c r="U194" s="2799">
        <f t="shared" si="207"/>
        <v>0.3</v>
      </c>
      <c r="V194" s="2799">
        <f t="shared" si="208"/>
        <v>0.3</v>
      </c>
      <c r="W194" s="2799">
        <f t="shared" si="209"/>
        <v>0.3</v>
      </c>
      <c r="X194" s="2799">
        <f t="shared" si="210"/>
        <v>0.3</v>
      </c>
      <c r="Y194" s="2799">
        <f t="shared" si="211"/>
        <v>0.3</v>
      </c>
      <c r="Z194" s="2799">
        <f t="shared" si="212"/>
        <v>0.3</v>
      </c>
      <c r="AA194" s="2799">
        <f t="shared" si="213"/>
        <v>0.3</v>
      </c>
      <c r="AB194" s="2799">
        <f t="shared" si="214"/>
        <v>0.3</v>
      </c>
      <c r="AC194" s="2812">
        <f t="shared" si="215"/>
        <v>0</v>
      </c>
      <c r="AD194" s="2811">
        <f t="shared" si="216"/>
        <v>0</v>
      </c>
      <c r="AE194" s="2811">
        <f t="shared" si="217"/>
        <v>0</v>
      </c>
      <c r="AG194" s="2010" t="s">
        <v>2887</v>
      </c>
      <c r="AH194" s="1941" t="s">
        <v>2213</v>
      </c>
      <c r="AI194" s="2011" t="s">
        <v>2888</v>
      </c>
      <c r="AJ194" s="1944">
        <v>0.3</v>
      </c>
      <c r="AK194" s="1944">
        <v>0.3</v>
      </c>
      <c r="AL194" s="1944">
        <v>0.3</v>
      </c>
      <c r="AM194" s="1944">
        <v>0.3</v>
      </c>
      <c r="AN194" s="1944">
        <v>0.3</v>
      </c>
      <c r="AO194" s="1944">
        <v>0.3</v>
      </c>
      <c r="AP194" s="1944">
        <v>0.3</v>
      </c>
      <c r="AQ194" s="1944">
        <v>0.3</v>
      </c>
      <c r="AR194" s="1944">
        <v>0.3</v>
      </c>
      <c r="AS194" s="1944">
        <v>0.3</v>
      </c>
      <c r="AT194" s="1991"/>
      <c r="AU194" s="1990"/>
      <c r="AV194" s="1990"/>
      <c r="AX194" s="2010" t="s">
        <v>2887</v>
      </c>
      <c r="AY194" s="1941" t="s">
        <v>2213</v>
      </c>
      <c r="AZ194" s="2011" t="s">
        <v>2888</v>
      </c>
      <c r="BA194" s="1944">
        <v>0.3</v>
      </c>
      <c r="BB194" s="1944">
        <v>0.3</v>
      </c>
      <c r="BC194" s="1944">
        <v>0.3</v>
      </c>
      <c r="BD194" s="1944">
        <v>0.3</v>
      </c>
      <c r="BE194" s="1944">
        <v>0.3</v>
      </c>
      <c r="BF194" s="1944">
        <v>0.3</v>
      </c>
      <c r="BG194" s="1944">
        <v>0.3</v>
      </c>
      <c r="BH194" s="1944">
        <v>0.3</v>
      </c>
      <c r="BI194" s="1944">
        <v>0.3</v>
      </c>
      <c r="BJ194" s="1944">
        <v>0.3</v>
      </c>
      <c r="BK194" s="1991"/>
      <c r="BL194" s="1990"/>
      <c r="BM194" s="1990"/>
      <c r="BO194" s="2010" t="s">
        <v>2887</v>
      </c>
      <c r="BP194" s="1941" t="s">
        <v>2213</v>
      </c>
      <c r="BQ194" s="2011" t="s">
        <v>2888</v>
      </c>
      <c r="BR194" s="1944">
        <v>0.3</v>
      </c>
      <c r="BS194" s="1944">
        <v>0.3</v>
      </c>
      <c r="BT194" s="1944">
        <v>0.3</v>
      </c>
      <c r="BU194" s="1944">
        <v>0.3</v>
      </c>
      <c r="BV194" s="1944">
        <v>0.3</v>
      </c>
      <c r="BW194" s="1944">
        <v>0.3</v>
      </c>
      <c r="BX194" s="1944">
        <v>0.3</v>
      </c>
      <c r="BY194" s="1944">
        <v>0.3</v>
      </c>
      <c r="BZ194" s="1944">
        <v>0.3</v>
      </c>
      <c r="CA194" s="1944">
        <v>0.3</v>
      </c>
      <c r="CB194" s="1991"/>
      <c r="CC194" s="1990"/>
      <c r="CD194" s="1990"/>
      <c r="CE194" s="2275"/>
      <c r="CG194" s="2010" t="s">
        <v>1396</v>
      </c>
      <c r="CH194" s="1941" t="s">
        <v>2213</v>
      </c>
      <c r="CI194" s="2011" t="s">
        <v>2888</v>
      </c>
      <c r="CJ194" s="2706">
        <f t="shared" si="167"/>
        <v>0.3</v>
      </c>
      <c r="CK194" s="2706">
        <f t="shared" si="155"/>
        <v>0.3</v>
      </c>
      <c r="CL194" s="2706">
        <f t="shared" si="156"/>
        <v>0.3</v>
      </c>
      <c r="CM194" s="2706">
        <f t="shared" si="157"/>
        <v>0.3</v>
      </c>
      <c r="CN194" s="2706">
        <f t="shared" si="158"/>
        <v>0.3</v>
      </c>
      <c r="CO194" s="2706">
        <f t="shared" si="159"/>
        <v>0.3</v>
      </c>
      <c r="CP194" s="2706">
        <f t="shared" si="160"/>
        <v>0.3</v>
      </c>
      <c r="CQ194" s="2706">
        <f t="shared" si="161"/>
        <v>0.3</v>
      </c>
      <c r="CR194" s="2706">
        <f t="shared" si="162"/>
        <v>0.3</v>
      </c>
      <c r="CS194" s="2706">
        <f t="shared" si="163"/>
        <v>0.3</v>
      </c>
      <c r="CT194" s="2722">
        <f t="shared" si="164"/>
        <v>0</v>
      </c>
      <c r="CU194" s="2721">
        <f t="shared" si="165"/>
        <v>0</v>
      </c>
      <c r="CV194" s="2721">
        <f t="shared" si="166"/>
        <v>0</v>
      </c>
      <c r="CX194" s="2010" t="s">
        <v>1396</v>
      </c>
      <c r="CY194" s="1941" t="s">
        <v>2213</v>
      </c>
      <c r="CZ194" s="2011"/>
      <c r="DA194" s="2924">
        <v>0</v>
      </c>
      <c r="DB194" s="2695"/>
      <c r="DC194" s="2695"/>
      <c r="DD194" s="2695"/>
      <c r="DE194" s="2695"/>
      <c r="DF194" s="2695"/>
      <c r="DG194" s="2695"/>
      <c r="DH194" s="2695"/>
      <c r="DI194" s="2695"/>
      <c r="DJ194" s="2695"/>
      <c r="DK194" s="2915"/>
      <c r="DL194" s="2698"/>
      <c r="DM194" s="2698"/>
    </row>
    <row r="195" spans="2:117"/>
    <row r="196" spans="2:117" hidden="1"/>
    <row r="197" spans="2:117" hidden="1"/>
    <row r="198" spans="2:117" hidden="1"/>
    <row r="199" spans="2:117" hidden="1"/>
    <row r="200" spans="2:117" hidden="1"/>
    <row r="201" spans="2:117" hidden="1"/>
    <row r="202" spans="2:117" hidden="1"/>
    <row r="203" spans="2:117" hidden="1"/>
    <row r="204" spans="2:117" hidden="1"/>
    <row r="205" spans="2:117" hidden="1"/>
    <row r="206" spans="2:117" hidden="1"/>
    <row r="207" spans="2:117" hidden="1"/>
    <row r="208" spans="2:117"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sheetData>
  <sheetProtection algorithmName="SHA-512" hashValue="2z18s9MKU+kPzhM6ZkYsyJTzpCEPzTOa0kBusHYAoyOvIW3b8cVe/pQ5Ywd0BWi2kH0mi4Q3P5Mnm/moZascQA==" saltValue="hUPrNpRW8mkEl4Op9wwR/Q==" spinCount="100000" sheet="1" objects="1" scenarios="1"/>
  <mergeCells count="12">
    <mergeCell ref="S5:AA5"/>
    <mergeCell ref="AC5:AE5"/>
    <mergeCell ref="BA5:BI5"/>
    <mergeCell ref="BK5:BM5"/>
    <mergeCell ref="AJ5:AR5"/>
    <mergeCell ref="AT5:AV5"/>
    <mergeCell ref="DA5:DI5"/>
    <mergeCell ref="DK5:DM5"/>
    <mergeCell ref="CJ5:CR5"/>
    <mergeCell ref="CT5:CV5"/>
    <mergeCell ref="BR5:BZ5"/>
    <mergeCell ref="CB5:CD5"/>
  </mergeCells>
  <phoneticPr fontId="22"/>
  <printOptions horizontalCentered="1"/>
  <pageMargins left="0.59055118110236227" right="0.59055118110236227" top="0.78740157480314965" bottom="0.59055118110236227" header="0.51181102362204722" footer="0.51181102362204722"/>
  <pageSetup paperSize="9" scale="65" fitToWidth="2" fitToHeight="0" orientation="portrait" verticalDpi="4294967293" r:id="rId1"/>
  <headerFooter alignWithMargins="0">
    <oddHeader>&amp;L&amp;F&amp;R&amp;A</oddHeader>
    <oddFooter>&amp;C&amp;P/&amp;N</oddFooter>
  </headerFooter>
  <rowBreaks count="1" manualBreakCount="1">
    <brk id="111" max="30" man="1"/>
  </rowBreaks>
  <colBreaks count="1" manualBreakCount="1">
    <brk id="15" max="193" man="1"/>
  </colBreaks>
  <ignoredErrors>
    <ignoredError sqref="AG152:AG195" numberStoredAsText="1"/>
    <ignoredError sqref="AA9 AA63"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349"/>
  <sheetViews>
    <sheetView showGridLines="0" zoomScaleNormal="100" zoomScaleSheetLayoutView="100" workbookViewId="0">
      <selection activeCell="H15" sqref="H15"/>
    </sheetView>
  </sheetViews>
  <sheetFormatPr defaultColWidth="0" defaultRowHeight="13" zeroHeight="1"/>
  <cols>
    <col min="1" max="2" width="1.453125" customWidth="1"/>
    <col min="3" max="3" width="5.36328125" customWidth="1"/>
    <col min="4" max="4" width="11" customWidth="1"/>
    <col min="5" max="5" width="12.90625" customWidth="1"/>
    <col min="6" max="6" width="10.7265625" customWidth="1"/>
    <col min="7" max="7" width="22.36328125" hidden="1" customWidth="1"/>
    <col min="8" max="8" width="8" hidden="1" customWidth="1"/>
    <col min="9" max="9" width="12.36328125" customWidth="1"/>
    <col min="10" max="18" width="11.26953125" customWidth="1"/>
    <col min="19" max="19" width="10" hidden="1" customWidth="1"/>
    <col min="20" max="20" width="20" hidden="1" customWidth="1"/>
    <col min="21" max="26" width="12.7265625" hidden="1" customWidth="1"/>
    <col min="27" max="27" width="0" hidden="1" customWidth="1"/>
    <col min="28" max="16384" width="9" hidden="1"/>
  </cols>
  <sheetData>
    <row r="1" spans="2:17" ht="17">
      <c r="B1" s="1634" t="s">
        <v>3514</v>
      </c>
    </row>
    <row r="2" spans="2:17" ht="4.5" customHeight="1"/>
    <row r="3" spans="2:17" ht="16">
      <c r="C3" s="1635" t="s">
        <v>3513</v>
      </c>
      <c r="D3" s="1636"/>
      <c r="E3" s="1637"/>
      <c r="F3" s="1637"/>
      <c r="G3" s="1637"/>
      <c r="H3" s="1637"/>
      <c r="I3" s="1638" t="s">
        <v>332</v>
      </c>
      <c r="J3" s="1639"/>
      <c r="K3" s="1639"/>
      <c r="L3" s="1640"/>
      <c r="M3" s="1640"/>
      <c r="N3" s="1640"/>
      <c r="O3" s="1640"/>
      <c r="P3" s="1640"/>
      <c r="Q3" s="1641"/>
    </row>
    <row r="4" spans="2:17" ht="15">
      <c r="C4" s="1642"/>
      <c r="D4" s="1643" t="s">
        <v>1952</v>
      </c>
      <c r="E4" s="1642"/>
      <c r="F4" s="1642"/>
      <c r="G4" s="1642"/>
      <c r="H4" s="1642"/>
      <c r="I4" s="1644" t="s">
        <v>2801</v>
      </c>
      <c r="J4" s="1640" t="s">
        <v>774</v>
      </c>
      <c r="K4" s="1645"/>
      <c r="L4" s="1644" t="s">
        <v>771</v>
      </c>
      <c r="M4" s="1640"/>
      <c r="N4" s="1645"/>
      <c r="O4" s="1644" t="s">
        <v>773</v>
      </c>
      <c r="P4" s="1640"/>
      <c r="Q4" s="1645"/>
    </row>
    <row r="5" spans="2:17">
      <c r="C5" s="1646" t="s">
        <v>423</v>
      </c>
      <c r="D5" s="1647"/>
      <c r="E5" s="1648"/>
      <c r="F5" s="1649"/>
      <c r="G5" s="1650"/>
      <c r="H5" s="1650"/>
      <c r="I5" s="1651" t="s">
        <v>2301</v>
      </c>
      <c r="J5" s="1651" t="s">
        <v>2302</v>
      </c>
      <c r="K5" s="1651" t="s">
        <v>2303</v>
      </c>
      <c r="L5" s="1651" t="s">
        <v>2301</v>
      </c>
      <c r="M5" s="1651" t="s">
        <v>2302</v>
      </c>
      <c r="N5" s="1651" t="s">
        <v>2303</v>
      </c>
      <c r="O5" s="1651" t="s">
        <v>2301</v>
      </c>
      <c r="P5" s="1651" t="s">
        <v>2302</v>
      </c>
      <c r="Q5" s="1651" t="s">
        <v>2303</v>
      </c>
    </row>
    <row r="6" spans="2:17" hidden="1">
      <c r="C6" s="1652"/>
      <c r="D6" s="1653"/>
      <c r="E6" s="1652"/>
      <c r="F6" s="1652"/>
      <c r="G6" s="1654">
        <v>1</v>
      </c>
      <c r="H6" s="1654"/>
      <c r="I6" s="1650">
        <v>3</v>
      </c>
      <c r="J6" s="1650">
        <v>4</v>
      </c>
      <c r="K6" s="1650">
        <v>5</v>
      </c>
      <c r="L6" s="1650">
        <v>6</v>
      </c>
      <c r="M6" s="1650">
        <v>7</v>
      </c>
      <c r="N6" s="1650">
        <v>8</v>
      </c>
      <c r="O6" s="1650">
        <v>9</v>
      </c>
      <c r="P6" s="1650">
        <v>10</v>
      </c>
      <c r="Q6" s="1650">
        <v>11</v>
      </c>
    </row>
    <row r="7" spans="2:17">
      <c r="C7" s="1655" t="s">
        <v>462</v>
      </c>
      <c r="D7" s="1656"/>
      <c r="E7" s="1648"/>
      <c r="F7" s="1649"/>
      <c r="G7" s="1654">
        <v>10</v>
      </c>
      <c r="H7" s="1654"/>
      <c r="I7" s="1657">
        <v>14.004999999999999</v>
      </c>
      <c r="J7" s="1657">
        <v>14.004999999999999</v>
      </c>
      <c r="K7" s="1657">
        <v>14.004999999999999</v>
      </c>
      <c r="L7" s="1657">
        <v>13.23</v>
      </c>
      <c r="M7" s="1657">
        <v>13.23</v>
      </c>
      <c r="N7" s="1657">
        <v>13.23</v>
      </c>
      <c r="O7" s="1657">
        <v>13.998000000000001</v>
      </c>
      <c r="P7" s="1657">
        <v>13.998000000000001</v>
      </c>
      <c r="Q7" s="1657">
        <v>13.998000000000001</v>
      </c>
    </row>
    <row r="8" spans="2:17">
      <c r="C8" s="1658"/>
      <c r="D8" s="863" t="s">
        <v>2401</v>
      </c>
      <c r="E8" s="863"/>
      <c r="F8" s="1659">
        <v>1</v>
      </c>
      <c r="G8" s="1654">
        <v>11</v>
      </c>
      <c r="H8" s="1654"/>
      <c r="I8" s="1660">
        <v>6.4519999999999991</v>
      </c>
      <c r="J8" s="1660">
        <v>6.4519999999999991</v>
      </c>
      <c r="K8" s="1660">
        <v>6.4519999999999991</v>
      </c>
      <c r="L8" s="1660">
        <v>6.6009999999999991</v>
      </c>
      <c r="M8" s="1660">
        <v>6.6009999999999991</v>
      </c>
      <c r="N8" s="1660">
        <v>6.6009999999999991</v>
      </c>
      <c r="O8" s="1660">
        <v>6.5150000000000006</v>
      </c>
      <c r="P8" s="1660">
        <v>6.5150000000000006</v>
      </c>
      <c r="Q8" s="1660">
        <v>6.5150000000000006</v>
      </c>
    </row>
    <row r="9" spans="2:17">
      <c r="C9" s="1658"/>
      <c r="D9" s="863" t="s">
        <v>2402</v>
      </c>
      <c r="E9" s="863"/>
      <c r="F9" s="1659">
        <v>1</v>
      </c>
      <c r="G9" s="1661">
        <v>12</v>
      </c>
      <c r="H9" s="1661"/>
      <c r="I9" s="1660">
        <v>13.42</v>
      </c>
      <c r="J9" s="1660">
        <v>13.42</v>
      </c>
      <c r="K9" s="1660">
        <v>13.42</v>
      </c>
      <c r="L9" s="1660">
        <v>12.416</v>
      </c>
      <c r="M9" s="1660">
        <v>12.416</v>
      </c>
      <c r="N9" s="1660">
        <v>12.416</v>
      </c>
      <c r="O9" s="1660">
        <v>13.272</v>
      </c>
      <c r="P9" s="1660">
        <v>13.272</v>
      </c>
      <c r="Q9" s="1660">
        <v>13.272</v>
      </c>
    </row>
    <row r="10" spans="2:17" hidden="1">
      <c r="C10" s="1662"/>
      <c r="D10" s="1664" t="s">
        <v>2802</v>
      </c>
      <c r="E10" s="1664"/>
      <c r="F10" s="1665"/>
      <c r="G10" s="1666">
        <v>13</v>
      </c>
      <c r="H10" s="1666">
        <f>CO2計算!$F$21</f>
        <v>0</v>
      </c>
      <c r="I10" s="1660">
        <f>(I7-I8)*$H10</f>
        <v>0</v>
      </c>
      <c r="J10" s="1660">
        <f t="shared" ref="J10:Q10" si="0">(J7-J8)*$H10</f>
        <v>0</v>
      </c>
      <c r="K10" s="1660">
        <f t="shared" si="0"/>
        <v>0</v>
      </c>
      <c r="L10" s="1660">
        <f t="shared" si="0"/>
        <v>0</v>
      </c>
      <c r="M10" s="1660">
        <f t="shared" si="0"/>
        <v>0</v>
      </c>
      <c r="N10" s="1660">
        <f t="shared" si="0"/>
        <v>0</v>
      </c>
      <c r="O10" s="1660">
        <f t="shared" si="0"/>
        <v>0</v>
      </c>
      <c r="P10" s="1660">
        <f t="shared" si="0"/>
        <v>0</v>
      </c>
      <c r="Q10" s="1660">
        <f t="shared" si="0"/>
        <v>0</v>
      </c>
    </row>
    <row r="11" spans="2:17" hidden="1">
      <c r="C11" s="1662"/>
      <c r="D11" s="1664" t="s">
        <v>2803</v>
      </c>
      <c r="E11" s="1664"/>
      <c r="F11" s="1665"/>
      <c r="G11" s="1667">
        <v>14</v>
      </c>
      <c r="H11" s="1666">
        <f>CO2計算!$F$22</f>
        <v>0</v>
      </c>
      <c r="I11" s="1660">
        <f t="shared" ref="I11:Q11" si="1">(I7-I9)*$H11</f>
        <v>0</v>
      </c>
      <c r="J11" s="1660">
        <f t="shared" si="1"/>
        <v>0</v>
      </c>
      <c r="K11" s="1660">
        <f t="shared" si="1"/>
        <v>0</v>
      </c>
      <c r="L11" s="1660">
        <f t="shared" si="1"/>
        <v>0</v>
      </c>
      <c r="M11" s="1660">
        <f t="shared" si="1"/>
        <v>0</v>
      </c>
      <c r="N11" s="1660">
        <f t="shared" si="1"/>
        <v>0</v>
      </c>
      <c r="O11" s="1660">
        <f t="shared" si="1"/>
        <v>0</v>
      </c>
      <c r="P11" s="1660">
        <f t="shared" si="1"/>
        <v>0</v>
      </c>
      <c r="Q11" s="1660">
        <f t="shared" si="1"/>
        <v>0</v>
      </c>
    </row>
    <row r="12" spans="2:17" hidden="1">
      <c r="C12" s="1668"/>
      <c r="D12" s="1664" t="s">
        <v>480</v>
      </c>
      <c r="E12" s="1664"/>
      <c r="F12" s="1665"/>
      <c r="G12" s="1670">
        <v>15</v>
      </c>
      <c r="H12" s="1670"/>
      <c r="I12" s="1660">
        <f t="shared" ref="I12:Q12" si="2">I7-I10-I11</f>
        <v>14.004999999999999</v>
      </c>
      <c r="J12" s="1660">
        <f t="shared" si="2"/>
        <v>14.004999999999999</v>
      </c>
      <c r="K12" s="1660">
        <f t="shared" si="2"/>
        <v>14.004999999999999</v>
      </c>
      <c r="L12" s="1660">
        <f t="shared" si="2"/>
        <v>13.23</v>
      </c>
      <c r="M12" s="1660">
        <f t="shared" si="2"/>
        <v>13.23</v>
      </c>
      <c r="N12" s="1660">
        <f t="shared" si="2"/>
        <v>13.23</v>
      </c>
      <c r="O12" s="1660">
        <f t="shared" si="2"/>
        <v>13.998000000000001</v>
      </c>
      <c r="P12" s="1660">
        <f t="shared" si="2"/>
        <v>13.998000000000001</v>
      </c>
      <c r="Q12" s="1660">
        <f t="shared" si="2"/>
        <v>13.998000000000001</v>
      </c>
    </row>
    <row r="13" spans="2:17">
      <c r="C13" s="1655" t="s">
        <v>1795</v>
      </c>
      <c r="D13" s="1648"/>
      <c r="E13" s="1648"/>
      <c r="F13" s="1649"/>
      <c r="G13" s="1654">
        <f t="shared" ref="G13:G60" si="3">G7+10</f>
        <v>20</v>
      </c>
      <c r="H13" s="1654"/>
      <c r="I13" s="1657">
        <v>10.473000000000001</v>
      </c>
      <c r="J13" s="1657">
        <v>10.473000000000001</v>
      </c>
      <c r="K13" s="1657">
        <v>10.473000000000001</v>
      </c>
      <c r="L13" s="1657">
        <v>11.762999999999998</v>
      </c>
      <c r="M13" s="1657">
        <v>11.762999999999998</v>
      </c>
      <c r="N13" s="1657">
        <v>11.762999999999998</v>
      </c>
      <c r="O13" s="1657">
        <v>14.002000000000002</v>
      </c>
      <c r="P13" s="1657">
        <v>14.002000000000002</v>
      </c>
      <c r="Q13" s="1657">
        <v>14.002000000000002</v>
      </c>
    </row>
    <row r="14" spans="2:17">
      <c r="C14" s="1658"/>
      <c r="D14" s="863" t="s">
        <v>2401</v>
      </c>
      <c r="E14" s="863"/>
      <c r="F14" s="1659">
        <v>1</v>
      </c>
      <c r="G14" s="1654">
        <f t="shared" si="3"/>
        <v>21</v>
      </c>
      <c r="H14" s="1654"/>
      <c r="I14" s="1660">
        <v>5.2279999999999998</v>
      </c>
      <c r="J14" s="1660">
        <v>5.2279999999999998</v>
      </c>
      <c r="K14" s="1660">
        <v>5.2279999999999998</v>
      </c>
      <c r="L14" s="1660">
        <v>5.3689999999999998</v>
      </c>
      <c r="M14" s="1660">
        <v>5.3689999999999998</v>
      </c>
      <c r="N14" s="1660">
        <v>5.3689999999999998</v>
      </c>
      <c r="O14" s="1660">
        <v>5.2780000000000005</v>
      </c>
      <c r="P14" s="1660">
        <v>5.2780000000000005</v>
      </c>
      <c r="Q14" s="1660">
        <v>5.2780000000000005</v>
      </c>
    </row>
    <row r="15" spans="2:17">
      <c r="C15" s="1658"/>
      <c r="D15" s="863" t="s">
        <v>2402</v>
      </c>
      <c r="E15" s="863"/>
      <c r="F15" s="1659">
        <v>1</v>
      </c>
      <c r="G15" s="1654">
        <f t="shared" si="3"/>
        <v>22</v>
      </c>
      <c r="H15" s="1661"/>
      <c r="I15" s="1660">
        <v>10.11</v>
      </c>
      <c r="J15" s="1660">
        <v>10.11</v>
      </c>
      <c r="K15" s="1660">
        <v>10.11</v>
      </c>
      <c r="L15" s="1660">
        <v>10.846</v>
      </c>
      <c r="M15" s="1660">
        <v>10.846</v>
      </c>
      <c r="N15" s="1660">
        <v>10.846</v>
      </c>
      <c r="O15" s="1660">
        <v>13.005000000000001</v>
      </c>
      <c r="P15" s="1660">
        <v>13.005000000000001</v>
      </c>
      <c r="Q15" s="1660">
        <v>13.005000000000001</v>
      </c>
    </row>
    <row r="16" spans="2:17" hidden="1">
      <c r="C16" s="1662"/>
      <c r="D16" s="1664" t="s">
        <v>2802</v>
      </c>
      <c r="E16" s="1664"/>
      <c r="F16" s="1665"/>
      <c r="G16" s="1654">
        <f t="shared" si="3"/>
        <v>23</v>
      </c>
      <c r="H16" s="1666">
        <f>CO2計算!$F$21</f>
        <v>0</v>
      </c>
      <c r="I16" s="1660">
        <f>(I13-I14)*$H16</f>
        <v>0</v>
      </c>
      <c r="J16" s="1660">
        <f t="shared" ref="J16:Q16" si="4">(J13-J14)*$H16</f>
        <v>0</v>
      </c>
      <c r="K16" s="1660">
        <f t="shared" si="4"/>
        <v>0</v>
      </c>
      <c r="L16" s="1660">
        <f t="shared" si="4"/>
        <v>0</v>
      </c>
      <c r="M16" s="1660">
        <f t="shared" si="4"/>
        <v>0</v>
      </c>
      <c r="N16" s="1660">
        <f t="shared" si="4"/>
        <v>0</v>
      </c>
      <c r="O16" s="1660">
        <f t="shared" si="4"/>
        <v>0</v>
      </c>
      <c r="P16" s="1660">
        <f t="shared" si="4"/>
        <v>0</v>
      </c>
      <c r="Q16" s="1660">
        <f t="shared" si="4"/>
        <v>0</v>
      </c>
    </row>
    <row r="17" spans="3:17" hidden="1">
      <c r="C17" s="1662"/>
      <c r="D17" s="1664" t="s">
        <v>2803</v>
      </c>
      <c r="E17" s="1664"/>
      <c r="F17" s="1665"/>
      <c r="G17" s="1654">
        <f t="shared" si="3"/>
        <v>24</v>
      </c>
      <c r="H17" s="1666">
        <f>CO2計算!$F$22</f>
        <v>0</v>
      </c>
      <c r="I17" s="1660">
        <f t="shared" ref="I17:Q17" si="5">(I13-I15)*$H17</f>
        <v>0</v>
      </c>
      <c r="J17" s="1660">
        <f t="shared" si="5"/>
        <v>0</v>
      </c>
      <c r="K17" s="1660">
        <f t="shared" si="5"/>
        <v>0</v>
      </c>
      <c r="L17" s="1660">
        <f t="shared" si="5"/>
        <v>0</v>
      </c>
      <c r="M17" s="1660">
        <f t="shared" si="5"/>
        <v>0</v>
      </c>
      <c r="N17" s="1660">
        <f t="shared" si="5"/>
        <v>0</v>
      </c>
      <c r="O17" s="1660">
        <f t="shared" si="5"/>
        <v>0</v>
      </c>
      <c r="P17" s="1660">
        <f t="shared" si="5"/>
        <v>0</v>
      </c>
      <c r="Q17" s="1660">
        <f t="shared" si="5"/>
        <v>0</v>
      </c>
    </row>
    <row r="18" spans="3:17" hidden="1">
      <c r="C18" s="1668"/>
      <c r="D18" s="1664" t="s">
        <v>480</v>
      </c>
      <c r="E18" s="1664"/>
      <c r="F18" s="1665"/>
      <c r="G18" s="1654">
        <f t="shared" si="3"/>
        <v>25</v>
      </c>
      <c r="H18" s="1670"/>
      <c r="I18" s="1660">
        <f t="shared" ref="I18:Q18" si="6">I13-I16-I17</f>
        <v>10.473000000000001</v>
      </c>
      <c r="J18" s="1660">
        <f t="shared" si="6"/>
        <v>10.473000000000001</v>
      </c>
      <c r="K18" s="1660">
        <f t="shared" si="6"/>
        <v>10.473000000000001</v>
      </c>
      <c r="L18" s="1660">
        <f t="shared" si="6"/>
        <v>11.762999999999998</v>
      </c>
      <c r="M18" s="1660">
        <f t="shared" si="6"/>
        <v>11.762999999999998</v>
      </c>
      <c r="N18" s="1660">
        <f t="shared" si="6"/>
        <v>11.762999999999998</v>
      </c>
      <c r="O18" s="1660">
        <f t="shared" si="6"/>
        <v>14.002000000000002</v>
      </c>
      <c r="P18" s="1660">
        <f t="shared" si="6"/>
        <v>14.002000000000002</v>
      </c>
      <c r="Q18" s="1660">
        <f t="shared" si="6"/>
        <v>14.002000000000002</v>
      </c>
    </row>
    <row r="19" spans="3:17">
      <c r="C19" s="1655" t="s">
        <v>1970</v>
      </c>
      <c r="D19" s="1648"/>
      <c r="E19" s="1648"/>
      <c r="F19" s="1649"/>
      <c r="G19" s="1654">
        <f t="shared" si="3"/>
        <v>30</v>
      </c>
      <c r="H19" s="1654"/>
      <c r="I19" s="1657">
        <v>16.572000000000003</v>
      </c>
      <c r="J19" s="1657">
        <v>16.572000000000003</v>
      </c>
      <c r="K19" s="1657">
        <v>16.572000000000003</v>
      </c>
      <c r="L19" s="1657">
        <v>22.385999999999999</v>
      </c>
      <c r="M19" s="1657">
        <v>22.385999999999999</v>
      </c>
      <c r="N19" s="1657">
        <v>22.385999999999999</v>
      </c>
      <c r="O19" s="1657">
        <v>16.960999999999999</v>
      </c>
      <c r="P19" s="1657">
        <v>16.960999999999999</v>
      </c>
      <c r="Q19" s="1657">
        <v>16.960999999999999</v>
      </c>
    </row>
    <row r="20" spans="3:17">
      <c r="C20" s="1658"/>
      <c r="D20" s="863" t="s">
        <v>2401</v>
      </c>
      <c r="E20" s="863"/>
      <c r="F20" s="1659">
        <v>1</v>
      </c>
      <c r="G20" s="1654">
        <f t="shared" si="3"/>
        <v>31</v>
      </c>
      <c r="H20" s="1654"/>
      <c r="I20" s="1660">
        <v>8.4039999999999999</v>
      </c>
      <c r="J20" s="1660">
        <v>8.4039999999999999</v>
      </c>
      <c r="K20" s="1660">
        <v>8.4039999999999999</v>
      </c>
      <c r="L20" s="1660">
        <v>8.5990000000000002</v>
      </c>
      <c r="M20" s="1660">
        <v>8.5990000000000002</v>
      </c>
      <c r="N20" s="1660">
        <v>8.5990000000000002</v>
      </c>
      <c r="O20" s="1660">
        <v>8.4849999999999994</v>
      </c>
      <c r="P20" s="1660">
        <v>8.4849999999999994</v>
      </c>
      <c r="Q20" s="1660">
        <v>8.4849999999999994</v>
      </c>
    </row>
    <row r="21" spans="3:17">
      <c r="C21" s="1658"/>
      <c r="D21" s="863" t="s">
        <v>2402</v>
      </c>
      <c r="E21" s="863"/>
      <c r="F21" s="1659">
        <v>1</v>
      </c>
      <c r="G21" s="1654">
        <f t="shared" si="3"/>
        <v>32</v>
      </c>
      <c r="H21" s="1661"/>
      <c r="I21" s="1660">
        <v>15.867000000000001</v>
      </c>
      <c r="J21" s="1660">
        <v>15.867000000000001</v>
      </c>
      <c r="K21" s="1660">
        <v>15.867000000000001</v>
      </c>
      <c r="L21" s="1660">
        <v>20.512</v>
      </c>
      <c r="M21" s="1660">
        <v>20.512</v>
      </c>
      <c r="N21" s="1660">
        <v>20.512</v>
      </c>
      <c r="O21" s="1660">
        <v>16.321999999999999</v>
      </c>
      <c r="P21" s="1660">
        <v>16.321999999999999</v>
      </c>
      <c r="Q21" s="1660">
        <v>16.321999999999999</v>
      </c>
    </row>
    <row r="22" spans="3:17" hidden="1">
      <c r="C22" s="1662"/>
      <c r="D22" s="1664" t="s">
        <v>2802</v>
      </c>
      <c r="E22" s="1664"/>
      <c r="F22" s="1665"/>
      <c r="G22" s="1654">
        <f t="shared" si="3"/>
        <v>33</v>
      </c>
      <c r="H22" s="1666">
        <f>CO2計算!$F$21</f>
        <v>0</v>
      </c>
      <c r="I22" s="1660">
        <f>(I19-I20)*$H22</f>
        <v>0</v>
      </c>
      <c r="J22" s="1660">
        <f t="shared" ref="J22:Q22" si="7">(J19-J20)*$H22</f>
        <v>0</v>
      </c>
      <c r="K22" s="1660">
        <f t="shared" si="7"/>
        <v>0</v>
      </c>
      <c r="L22" s="1660">
        <f t="shared" si="7"/>
        <v>0</v>
      </c>
      <c r="M22" s="1660">
        <f t="shared" si="7"/>
        <v>0</v>
      </c>
      <c r="N22" s="1660">
        <f t="shared" si="7"/>
        <v>0</v>
      </c>
      <c r="O22" s="1660">
        <f t="shared" si="7"/>
        <v>0</v>
      </c>
      <c r="P22" s="1660">
        <f t="shared" si="7"/>
        <v>0</v>
      </c>
      <c r="Q22" s="1660">
        <f t="shared" si="7"/>
        <v>0</v>
      </c>
    </row>
    <row r="23" spans="3:17" hidden="1">
      <c r="C23" s="1662"/>
      <c r="D23" s="1664" t="s">
        <v>2803</v>
      </c>
      <c r="E23" s="1664"/>
      <c r="F23" s="1665"/>
      <c r="G23" s="1654">
        <f t="shared" si="3"/>
        <v>34</v>
      </c>
      <c r="H23" s="1666">
        <f>CO2計算!$F$22</f>
        <v>0</v>
      </c>
      <c r="I23" s="1660">
        <f t="shared" ref="I23:Q23" si="8">(I19-I21)*$H23</f>
        <v>0</v>
      </c>
      <c r="J23" s="1660">
        <f t="shared" si="8"/>
        <v>0</v>
      </c>
      <c r="K23" s="1660">
        <f t="shared" si="8"/>
        <v>0</v>
      </c>
      <c r="L23" s="1660">
        <f t="shared" si="8"/>
        <v>0</v>
      </c>
      <c r="M23" s="1660">
        <f t="shared" si="8"/>
        <v>0</v>
      </c>
      <c r="N23" s="1660">
        <f t="shared" si="8"/>
        <v>0</v>
      </c>
      <c r="O23" s="1660">
        <f t="shared" si="8"/>
        <v>0</v>
      </c>
      <c r="P23" s="1660">
        <f t="shared" si="8"/>
        <v>0</v>
      </c>
      <c r="Q23" s="1660">
        <f t="shared" si="8"/>
        <v>0</v>
      </c>
    </row>
    <row r="24" spans="3:17" hidden="1">
      <c r="C24" s="1668"/>
      <c r="D24" s="1664" t="s">
        <v>480</v>
      </c>
      <c r="E24" s="1664"/>
      <c r="F24" s="1665"/>
      <c r="G24" s="1654">
        <f t="shared" si="3"/>
        <v>35</v>
      </c>
      <c r="H24" s="1670"/>
      <c r="I24" s="1660">
        <f t="shared" ref="I24:Q24" si="9">I19-I22-I23</f>
        <v>16.572000000000003</v>
      </c>
      <c r="J24" s="1660">
        <f t="shared" si="9"/>
        <v>16.572000000000003</v>
      </c>
      <c r="K24" s="1660">
        <f t="shared" si="9"/>
        <v>16.572000000000003</v>
      </c>
      <c r="L24" s="1660">
        <f t="shared" si="9"/>
        <v>22.385999999999999</v>
      </c>
      <c r="M24" s="1660">
        <f t="shared" si="9"/>
        <v>22.385999999999999</v>
      </c>
      <c r="N24" s="1660">
        <f t="shared" si="9"/>
        <v>22.385999999999999</v>
      </c>
      <c r="O24" s="1660">
        <f t="shared" si="9"/>
        <v>16.960999999999999</v>
      </c>
      <c r="P24" s="1660">
        <f t="shared" si="9"/>
        <v>16.960999999999999</v>
      </c>
      <c r="Q24" s="1660">
        <f t="shared" si="9"/>
        <v>16.960999999999999</v>
      </c>
    </row>
    <row r="25" spans="3:17">
      <c r="C25" s="1655" t="s">
        <v>2088</v>
      </c>
      <c r="D25" s="1648"/>
      <c r="E25" s="1648"/>
      <c r="F25" s="1649"/>
      <c r="G25" s="1654">
        <f t="shared" si="3"/>
        <v>40</v>
      </c>
      <c r="H25" s="1654"/>
      <c r="I25" s="1657">
        <v>16.571999999999999</v>
      </c>
      <c r="J25" s="1657">
        <v>16.572000000000003</v>
      </c>
      <c r="K25" s="1657">
        <v>16.572000000000003</v>
      </c>
      <c r="L25" s="1657">
        <v>22.385999999999999</v>
      </c>
      <c r="M25" s="1657">
        <v>22.385999999999999</v>
      </c>
      <c r="N25" s="1657">
        <v>22.385999999999999</v>
      </c>
      <c r="O25" s="1657">
        <v>16.960999999999999</v>
      </c>
      <c r="P25" s="1657">
        <v>16.960999999999999</v>
      </c>
      <c r="Q25" s="1657">
        <v>16.960999999999999</v>
      </c>
    </row>
    <row r="26" spans="3:17">
      <c r="C26" s="1658"/>
      <c r="D26" s="863" t="s">
        <v>2401</v>
      </c>
      <c r="E26" s="863"/>
      <c r="F26" s="1659">
        <v>1</v>
      </c>
      <c r="G26" s="1654">
        <f t="shared" si="3"/>
        <v>41</v>
      </c>
      <c r="H26" s="1654"/>
      <c r="I26" s="1660">
        <v>8.4039999999999999</v>
      </c>
      <c r="J26" s="1660">
        <v>8.4039999999999999</v>
      </c>
      <c r="K26" s="1660">
        <v>8.4039999999999999</v>
      </c>
      <c r="L26" s="1660">
        <v>8.5990000000000002</v>
      </c>
      <c r="M26" s="1660">
        <v>8.5990000000000002</v>
      </c>
      <c r="N26" s="1660">
        <v>8.5990000000000002</v>
      </c>
      <c r="O26" s="1660">
        <v>8.4849999999999994</v>
      </c>
      <c r="P26" s="1660">
        <v>8.4849999999999994</v>
      </c>
      <c r="Q26" s="1660">
        <v>8.4849999999999994</v>
      </c>
    </row>
    <row r="27" spans="3:17">
      <c r="C27" s="1658"/>
      <c r="D27" s="863" t="s">
        <v>2402</v>
      </c>
      <c r="E27" s="863"/>
      <c r="F27" s="1659">
        <v>1</v>
      </c>
      <c r="G27" s="1654">
        <f t="shared" si="3"/>
        <v>42</v>
      </c>
      <c r="H27" s="1661"/>
      <c r="I27" s="1660">
        <v>15.867000000000001</v>
      </c>
      <c r="J27" s="1660">
        <v>15.867000000000001</v>
      </c>
      <c r="K27" s="1660">
        <v>15.867000000000001</v>
      </c>
      <c r="L27" s="1660">
        <v>20.512</v>
      </c>
      <c r="M27" s="1660">
        <v>20.512</v>
      </c>
      <c r="N27" s="1660">
        <v>20.512</v>
      </c>
      <c r="O27" s="1660">
        <v>16.321999999999999</v>
      </c>
      <c r="P27" s="1660">
        <v>16.321999999999999</v>
      </c>
      <c r="Q27" s="1660">
        <v>16.321999999999999</v>
      </c>
    </row>
    <row r="28" spans="3:17" hidden="1">
      <c r="C28" s="1662"/>
      <c r="D28" s="1664" t="s">
        <v>2802</v>
      </c>
      <c r="E28" s="1664"/>
      <c r="F28" s="1665"/>
      <c r="G28" s="1654">
        <f t="shared" si="3"/>
        <v>43</v>
      </c>
      <c r="H28" s="1666">
        <f>CO2計算!$F$21</f>
        <v>0</v>
      </c>
      <c r="I28" s="1660">
        <f>(I25-I26)*$H28</f>
        <v>0</v>
      </c>
      <c r="J28" s="1660">
        <f t="shared" ref="J28:Q28" si="10">(J25-J26)*$H28</f>
        <v>0</v>
      </c>
      <c r="K28" s="1660">
        <f t="shared" si="10"/>
        <v>0</v>
      </c>
      <c r="L28" s="1660">
        <f t="shared" si="10"/>
        <v>0</v>
      </c>
      <c r="M28" s="1660">
        <f t="shared" si="10"/>
        <v>0</v>
      </c>
      <c r="N28" s="1660">
        <f t="shared" si="10"/>
        <v>0</v>
      </c>
      <c r="O28" s="1660">
        <f t="shared" si="10"/>
        <v>0</v>
      </c>
      <c r="P28" s="1660">
        <f t="shared" si="10"/>
        <v>0</v>
      </c>
      <c r="Q28" s="1660">
        <f t="shared" si="10"/>
        <v>0</v>
      </c>
    </row>
    <row r="29" spans="3:17" hidden="1">
      <c r="C29" s="1662"/>
      <c r="D29" s="1664" t="s">
        <v>2803</v>
      </c>
      <c r="E29" s="1664"/>
      <c r="F29" s="1665"/>
      <c r="G29" s="1654">
        <f t="shared" si="3"/>
        <v>44</v>
      </c>
      <c r="H29" s="1666">
        <f>CO2計算!$F$22</f>
        <v>0</v>
      </c>
      <c r="I29" s="1660">
        <f t="shared" ref="I29:Q29" si="11">(I25-I27)*$H29</f>
        <v>0</v>
      </c>
      <c r="J29" s="1660">
        <f t="shared" si="11"/>
        <v>0</v>
      </c>
      <c r="K29" s="1660">
        <f t="shared" si="11"/>
        <v>0</v>
      </c>
      <c r="L29" s="1660">
        <f t="shared" si="11"/>
        <v>0</v>
      </c>
      <c r="M29" s="1660">
        <f t="shared" si="11"/>
        <v>0</v>
      </c>
      <c r="N29" s="1660">
        <f t="shared" si="11"/>
        <v>0</v>
      </c>
      <c r="O29" s="1660">
        <f t="shared" si="11"/>
        <v>0</v>
      </c>
      <c r="P29" s="1660">
        <f t="shared" si="11"/>
        <v>0</v>
      </c>
      <c r="Q29" s="1660">
        <f t="shared" si="11"/>
        <v>0</v>
      </c>
    </row>
    <row r="30" spans="3:17" hidden="1">
      <c r="C30" s="1668"/>
      <c r="D30" s="1664" t="s">
        <v>480</v>
      </c>
      <c r="E30" s="1664"/>
      <c r="F30" s="1665"/>
      <c r="G30" s="1654">
        <f t="shared" si="3"/>
        <v>45</v>
      </c>
      <c r="H30" s="1670"/>
      <c r="I30" s="1660">
        <f t="shared" ref="I30:Q30" si="12">I25-I28-I29</f>
        <v>16.571999999999999</v>
      </c>
      <c r="J30" s="1660">
        <f t="shared" si="12"/>
        <v>16.572000000000003</v>
      </c>
      <c r="K30" s="1660">
        <f t="shared" si="12"/>
        <v>16.572000000000003</v>
      </c>
      <c r="L30" s="1660">
        <f t="shared" si="12"/>
        <v>22.385999999999999</v>
      </c>
      <c r="M30" s="1660">
        <f t="shared" si="12"/>
        <v>22.385999999999999</v>
      </c>
      <c r="N30" s="1660">
        <f t="shared" si="12"/>
        <v>22.385999999999999</v>
      </c>
      <c r="O30" s="1660">
        <f t="shared" si="12"/>
        <v>16.960999999999999</v>
      </c>
      <c r="P30" s="1660">
        <f t="shared" si="12"/>
        <v>16.960999999999999</v>
      </c>
      <c r="Q30" s="1660">
        <f t="shared" si="12"/>
        <v>16.960999999999999</v>
      </c>
    </row>
    <row r="31" spans="3:17">
      <c r="C31" s="1655" t="s">
        <v>1972</v>
      </c>
      <c r="D31" s="1648"/>
      <c r="E31" s="1648"/>
      <c r="F31" s="1649"/>
      <c r="G31" s="1654">
        <f t="shared" si="3"/>
        <v>50</v>
      </c>
      <c r="H31" s="1654"/>
      <c r="I31" s="1657">
        <v>11.535</v>
      </c>
      <c r="J31" s="1657">
        <v>11.535</v>
      </c>
      <c r="K31" s="1657">
        <v>11.535</v>
      </c>
      <c r="L31" s="1657">
        <v>12.471</v>
      </c>
      <c r="M31" s="1657">
        <v>12.471</v>
      </c>
      <c r="N31" s="1657">
        <v>12.471</v>
      </c>
      <c r="O31" s="1657">
        <v>13.079000000000001</v>
      </c>
      <c r="P31" s="1657">
        <v>13.079000000000001</v>
      </c>
      <c r="Q31" s="1657">
        <v>13.079000000000001</v>
      </c>
    </row>
    <row r="32" spans="3:17">
      <c r="C32" s="1658"/>
      <c r="D32" s="863" t="s">
        <v>2401</v>
      </c>
      <c r="E32" s="863"/>
      <c r="F32" s="1659">
        <v>1</v>
      </c>
      <c r="G32" s="1654">
        <f t="shared" si="3"/>
        <v>51</v>
      </c>
      <c r="H32" s="1654"/>
      <c r="I32" s="1660">
        <v>5.452</v>
      </c>
      <c r="J32" s="1660">
        <v>5.452</v>
      </c>
      <c r="K32" s="1660">
        <v>5.452</v>
      </c>
      <c r="L32" s="1660">
        <v>5.5779999999999994</v>
      </c>
      <c r="M32" s="1660">
        <v>5.5779999999999994</v>
      </c>
      <c r="N32" s="1660">
        <v>5.5779999999999994</v>
      </c>
      <c r="O32" s="1660">
        <v>5.5039999999999996</v>
      </c>
      <c r="P32" s="1660">
        <v>5.5039999999999996</v>
      </c>
      <c r="Q32" s="1660">
        <v>5.5039999999999996</v>
      </c>
    </row>
    <row r="33" spans="3:17">
      <c r="C33" s="1658"/>
      <c r="D33" s="863" t="s">
        <v>2402</v>
      </c>
      <c r="E33" s="863"/>
      <c r="F33" s="1659">
        <v>1</v>
      </c>
      <c r="G33" s="1654">
        <f t="shared" si="3"/>
        <v>52</v>
      </c>
      <c r="H33" s="1661"/>
      <c r="I33" s="1660">
        <v>11.178000000000001</v>
      </c>
      <c r="J33" s="1660">
        <v>11.178000000000001</v>
      </c>
      <c r="K33" s="1660">
        <v>11.178000000000001</v>
      </c>
      <c r="L33" s="1660">
        <v>11.533999999999999</v>
      </c>
      <c r="M33" s="1660">
        <v>11.533999999999999</v>
      </c>
      <c r="N33" s="1660">
        <v>11.533999999999999</v>
      </c>
      <c r="O33" s="1660">
        <v>12.182</v>
      </c>
      <c r="P33" s="1660">
        <v>12.182</v>
      </c>
      <c r="Q33" s="1660">
        <v>12.182</v>
      </c>
    </row>
    <row r="34" spans="3:17" hidden="1">
      <c r="C34" s="1662"/>
      <c r="D34" s="1664" t="s">
        <v>2802</v>
      </c>
      <c r="E34" s="1664"/>
      <c r="F34" s="1665"/>
      <c r="G34" s="1654">
        <f t="shared" si="3"/>
        <v>53</v>
      </c>
      <c r="H34" s="1666">
        <f>CO2計算!$F$21</f>
        <v>0</v>
      </c>
      <c r="I34" s="1660">
        <f>(I31-I32)*$H34</f>
        <v>0</v>
      </c>
      <c r="J34" s="1660">
        <f t="shared" ref="J34:Q34" si="13">(J31-J32)*$H34</f>
        <v>0</v>
      </c>
      <c r="K34" s="1660">
        <f t="shared" si="13"/>
        <v>0</v>
      </c>
      <c r="L34" s="1660">
        <f t="shared" si="13"/>
        <v>0</v>
      </c>
      <c r="M34" s="1660">
        <f t="shared" si="13"/>
        <v>0</v>
      </c>
      <c r="N34" s="1660">
        <f t="shared" si="13"/>
        <v>0</v>
      </c>
      <c r="O34" s="1660">
        <f t="shared" si="13"/>
        <v>0</v>
      </c>
      <c r="P34" s="1660">
        <f t="shared" si="13"/>
        <v>0</v>
      </c>
      <c r="Q34" s="1660">
        <f t="shared" si="13"/>
        <v>0</v>
      </c>
    </row>
    <row r="35" spans="3:17" hidden="1">
      <c r="C35" s="1662"/>
      <c r="D35" s="1664" t="s">
        <v>2803</v>
      </c>
      <c r="E35" s="1664"/>
      <c r="F35" s="1665"/>
      <c r="G35" s="1654">
        <f t="shared" si="3"/>
        <v>54</v>
      </c>
      <c r="H35" s="1666">
        <f>CO2計算!$F$22</f>
        <v>0</v>
      </c>
      <c r="I35" s="1660">
        <f t="shared" ref="I35:Q35" si="14">(I31-I33)*$H35</f>
        <v>0</v>
      </c>
      <c r="J35" s="1660">
        <f t="shared" si="14"/>
        <v>0</v>
      </c>
      <c r="K35" s="1660">
        <f t="shared" si="14"/>
        <v>0</v>
      </c>
      <c r="L35" s="1660">
        <f t="shared" si="14"/>
        <v>0</v>
      </c>
      <c r="M35" s="1660">
        <f t="shared" si="14"/>
        <v>0</v>
      </c>
      <c r="N35" s="1660">
        <f t="shared" si="14"/>
        <v>0</v>
      </c>
      <c r="O35" s="1660">
        <f t="shared" si="14"/>
        <v>0</v>
      </c>
      <c r="P35" s="1660">
        <f t="shared" si="14"/>
        <v>0</v>
      </c>
      <c r="Q35" s="1660">
        <f t="shared" si="14"/>
        <v>0</v>
      </c>
    </row>
    <row r="36" spans="3:17" hidden="1">
      <c r="C36" s="1668"/>
      <c r="D36" s="1664" t="s">
        <v>480</v>
      </c>
      <c r="E36" s="1664"/>
      <c r="F36" s="1665"/>
      <c r="G36" s="1654">
        <f t="shared" si="3"/>
        <v>55</v>
      </c>
      <c r="H36" s="1670"/>
      <c r="I36" s="1660">
        <f t="shared" ref="I36:Q36" si="15">I31-I34-I35</f>
        <v>11.535</v>
      </c>
      <c r="J36" s="1660">
        <f t="shared" si="15"/>
        <v>11.535</v>
      </c>
      <c r="K36" s="1660">
        <f t="shared" si="15"/>
        <v>11.535</v>
      </c>
      <c r="L36" s="1660">
        <f t="shared" si="15"/>
        <v>12.471</v>
      </c>
      <c r="M36" s="1660">
        <f t="shared" si="15"/>
        <v>12.471</v>
      </c>
      <c r="N36" s="1660">
        <f t="shared" si="15"/>
        <v>12.471</v>
      </c>
      <c r="O36" s="1660">
        <f t="shared" si="15"/>
        <v>13.079000000000001</v>
      </c>
      <c r="P36" s="1660">
        <f t="shared" si="15"/>
        <v>13.079000000000001</v>
      </c>
      <c r="Q36" s="1660">
        <f t="shared" si="15"/>
        <v>13.079000000000001</v>
      </c>
    </row>
    <row r="37" spans="3:17">
      <c r="C37" s="1655" t="s">
        <v>478</v>
      </c>
      <c r="D37" s="1648"/>
      <c r="E37" s="1648"/>
      <c r="F37" s="1649"/>
      <c r="G37" s="1654">
        <f t="shared" si="3"/>
        <v>60</v>
      </c>
      <c r="H37" s="1654"/>
      <c r="I37" s="1657">
        <v>19.561999999999998</v>
      </c>
      <c r="J37" s="1657">
        <v>19.561999999999998</v>
      </c>
      <c r="K37" s="1657">
        <v>19.561999999999998</v>
      </c>
      <c r="L37" s="1657">
        <v>22.5</v>
      </c>
      <c r="M37" s="1657">
        <v>22.5</v>
      </c>
      <c r="N37" s="1657">
        <v>22.5</v>
      </c>
      <c r="O37" s="1657">
        <v>23.650000000000002</v>
      </c>
      <c r="P37" s="1657">
        <v>23.650000000000002</v>
      </c>
      <c r="Q37" s="1657">
        <v>23.650000000000002</v>
      </c>
    </row>
    <row r="38" spans="3:17">
      <c r="C38" s="1658"/>
      <c r="D38" s="863" t="s">
        <v>2401</v>
      </c>
      <c r="E38" s="863"/>
      <c r="F38" s="1659">
        <v>1</v>
      </c>
      <c r="G38" s="1654">
        <f t="shared" si="3"/>
        <v>61</v>
      </c>
      <c r="H38" s="1654"/>
      <c r="I38" s="1660">
        <v>9.9849999999999994</v>
      </c>
      <c r="J38" s="1660">
        <v>9.9849999999999994</v>
      </c>
      <c r="K38" s="1660">
        <v>9.9849999999999994</v>
      </c>
      <c r="L38" s="1660">
        <v>10.302</v>
      </c>
      <c r="M38" s="1660">
        <v>10.302</v>
      </c>
      <c r="N38" s="1660">
        <v>10.302</v>
      </c>
      <c r="O38" s="1660">
        <v>9.9700000000000006</v>
      </c>
      <c r="P38" s="1660">
        <v>9.9700000000000006</v>
      </c>
      <c r="Q38" s="1660">
        <v>9.9700000000000006</v>
      </c>
    </row>
    <row r="39" spans="3:17">
      <c r="C39" s="1658"/>
      <c r="D39" s="863" t="s">
        <v>2402</v>
      </c>
      <c r="E39" s="863"/>
      <c r="F39" s="1659">
        <v>1</v>
      </c>
      <c r="G39" s="1654">
        <f t="shared" si="3"/>
        <v>62</v>
      </c>
      <c r="H39" s="1661"/>
      <c r="I39" s="1660">
        <v>18.811</v>
      </c>
      <c r="J39" s="1660">
        <v>18.811</v>
      </c>
      <c r="K39" s="1660">
        <v>18.811</v>
      </c>
      <c r="L39" s="1660">
        <v>20.811999999999998</v>
      </c>
      <c r="M39" s="1660">
        <v>20.811999999999998</v>
      </c>
      <c r="N39" s="1660">
        <v>20.811999999999998</v>
      </c>
      <c r="O39" s="1660">
        <v>22.231999999999999</v>
      </c>
      <c r="P39" s="1660">
        <v>22.231999999999999</v>
      </c>
      <c r="Q39" s="1660">
        <v>22.231999999999999</v>
      </c>
    </row>
    <row r="40" spans="3:17" hidden="1">
      <c r="C40" s="1662"/>
      <c r="D40" s="1664" t="s">
        <v>2802</v>
      </c>
      <c r="E40" s="1664"/>
      <c r="F40" s="1665"/>
      <c r="G40" s="1654">
        <f t="shared" si="3"/>
        <v>63</v>
      </c>
      <c r="H40" s="1666">
        <f>CO2計算!$F$21</f>
        <v>0</v>
      </c>
      <c r="I40" s="1660">
        <f>(I37-I38)*$H40</f>
        <v>0</v>
      </c>
      <c r="J40" s="1660">
        <f t="shared" ref="J40:Q40" si="16">(J37-J38)*$H40</f>
        <v>0</v>
      </c>
      <c r="K40" s="1660">
        <f t="shared" si="16"/>
        <v>0</v>
      </c>
      <c r="L40" s="1660">
        <f t="shared" si="16"/>
        <v>0</v>
      </c>
      <c r="M40" s="1660">
        <f t="shared" si="16"/>
        <v>0</v>
      </c>
      <c r="N40" s="1660">
        <f t="shared" si="16"/>
        <v>0</v>
      </c>
      <c r="O40" s="1660">
        <f t="shared" si="16"/>
        <v>0</v>
      </c>
      <c r="P40" s="1660">
        <f t="shared" si="16"/>
        <v>0</v>
      </c>
      <c r="Q40" s="1660">
        <f t="shared" si="16"/>
        <v>0</v>
      </c>
    </row>
    <row r="41" spans="3:17" hidden="1">
      <c r="C41" s="1662"/>
      <c r="D41" s="1664" t="s">
        <v>2803</v>
      </c>
      <c r="E41" s="1664"/>
      <c r="F41" s="1665"/>
      <c r="G41" s="1654">
        <f t="shared" si="3"/>
        <v>64</v>
      </c>
      <c r="H41" s="1666">
        <f>CO2計算!$F$22</f>
        <v>0</v>
      </c>
      <c r="I41" s="1660">
        <f t="shared" ref="I41:Q41" si="17">(I37-I39)*$H41</f>
        <v>0</v>
      </c>
      <c r="J41" s="1660">
        <f t="shared" si="17"/>
        <v>0</v>
      </c>
      <c r="K41" s="1660">
        <f t="shared" si="17"/>
        <v>0</v>
      </c>
      <c r="L41" s="1660">
        <f t="shared" si="17"/>
        <v>0</v>
      </c>
      <c r="M41" s="1660">
        <f t="shared" si="17"/>
        <v>0</v>
      </c>
      <c r="N41" s="1660">
        <f t="shared" si="17"/>
        <v>0</v>
      </c>
      <c r="O41" s="1660">
        <f t="shared" si="17"/>
        <v>0</v>
      </c>
      <c r="P41" s="1660">
        <f t="shared" si="17"/>
        <v>0</v>
      </c>
      <c r="Q41" s="1660">
        <f t="shared" si="17"/>
        <v>0</v>
      </c>
    </row>
    <row r="42" spans="3:17" hidden="1">
      <c r="C42" s="1668"/>
      <c r="D42" s="1664" t="s">
        <v>480</v>
      </c>
      <c r="E42" s="1664"/>
      <c r="F42" s="1665"/>
      <c r="G42" s="1654">
        <f t="shared" si="3"/>
        <v>65</v>
      </c>
      <c r="H42" s="1670"/>
      <c r="I42" s="1660">
        <f t="shared" ref="I42:Q42" si="18">I37-I40-I41</f>
        <v>19.561999999999998</v>
      </c>
      <c r="J42" s="1660">
        <f t="shared" si="18"/>
        <v>19.561999999999998</v>
      </c>
      <c r="K42" s="1660">
        <f t="shared" si="18"/>
        <v>19.561999999999998</v>
      </c>
      <c r="L42" s="1660">
        <f t="shared" si="18"/>
        <v>22.5</v>
      </c>
      <c r="M42" s="1660">
        <f t="shared" si="18"/>
        <v>22.5</v>
      </c>
      <c r="N42" s="1660">
        <f t="shared" si="18"/>
        <v>22.5</v>
      </c>
      <c r="O42" s="1660">
        <f t="shared" si="18"/>
        <v>23.650000000000002</v>
      </c>
      <c r="P42" s="1660">
        <f t="shared" si="18"/>
        <v>23.650000000000002</v>
      </c>
      <c r="Q42" s="1660">
        <f t="shared" si="18"/>
        <v>23.650000000000002</v>
      </c>
    </row>
    <row r="43" spans="3:17">
      <c r="C43" s="1655" t="s">
        <v>1974</v>
      </c>
      <c r="D43" s="1648"/>
      <c r="E43" s="1648"/>
      <c r="F43" s="1649"/>
      <c r="G43" s="1654">
        <f t="shared" si="3"/>
        <v>70</v>
      </c>
      <c r="H43" s="1654"/>
      <c r="I43" s="1657">
        <v>10.405000000000001</v>
      </c>
      <c r="J43" s="1657">
        <v>10.405000000000001</v>
      </c>
      <c r="K43" s="1657">
        <v>10.405000000000001</v>
      </c>
      <c r="L43" s="1657">
        <v>12.261000000000001</v>
      </c>
      <c r="M43" s="1657">
        <v>12.261000000000001</v>
      </c>
      <c r="N43" s="1657">
        <v>12.261000000000001</v>
      </c>
      <c r="O43" s="1657">
        <v>13.704000000000001</v>
      </c>
      <c r="P43" s="1657">
        <v>13.704000000000001</v>
      </c>
      <c r="Q43" s="1657">
        <v>13.704000000000001</v>
      </c>
    </row>
    <row r="44" spans="3:17">
      <c r="C44" s="1658"/>
      <c r="D44" s="863" t="s">
        <v>2401</v>
      </c>
      <c r="E44" s="863"/>
      <c r="F44" s="1659">
        <v>1</v>
      </c>
      <c r="G44" s="1654">
        <f t="shared" si="3"/>
        <v>71</v>
      </c>
      <c r="H44" s="1654"/>
      <c r="I44" s="1660">
        <v>6.2990000000000004</v>
      </c>
      <c r="J44" s="1660">
        <v>6.2990000000000004</v>
      </c>
      <c r="K44" s="1660">
        <v>6.2990000000000004</v>
      </c>
      <c r="L44" s="1660">
        <v>6.4450000000000003</v>
      </c>
      <c r="M44" s="1660">
        <v>6.4450000000000003</v>
      </c>
      <c r="N44" s="1660">
        <v>6.4450000000000003</v>
      </c>
      <c r="O44" s="1660">
        <v>6.36</v>
      </c>
      <c r="P44" s="1660">
        <v>6.36</v>
      </c>
      <c r="Q44" s="1660">
        <v>6.36</v>
      </c>
    </row>
    <row r="45" spans="3:17">
      <c r="C45" s="1658"/>
      <c r="D45" s="863" t="s">
        <v>2402</v>
      </c>
      <c r="E45" s="863"/>
      <c r="F45" s="1659">
        <v>1</v>
      </c>
      <c r="G45" s="1654">
        <f t="shared" si="3"/>
        <v>72</v>
      </c>
      <c r="H45" s="1661"/>
      <c r="I45" s="1660">
        <v>10.077999999999999</v>
      </c>
      <c r="J45" s="1660">
        <v>10.077999999999999</v>
      </c>
      <c r="K45" s="1660">
        <v>10.077999999999999</v>
      </c>
      <c r="L45" s="1660">
        <v>11.452000000000002</v>
      </c>
      <c r="M45" s="1660">
        <v>11.452000000000002</v>
      </c>
      <c r="N45" s="1660">
        <v>11.452000000000002</v>
      </c>
      <c r="O45" s="1660">
        <v>12.857999999999999</v>
      </c>
      <c r="P45" s="1660">
        <v>12.857999999999999</v>
      </c>
      <c r="Q45" s="1660">
        <v>12.857999999999999</v>
      </c>
    </row>
    <row r="46" spans="3:17" hidden="1">
      <c r="C46" s="1662"/>
      <c r="D46" s="1664" t="s">
        <v>2802</v>
      </c>
      <c r="E46" s="1664"/>
      <c r="F46" s="1665"/>
      <c r="G46" s="1654">
        <f t="shared" si="3"/>
        <v>73</v>
      </c>
      <c r="H46" s="1666">
        <f>CO2計算!$F$21</f>
        <v>0</v>
      </c>
      <c r="I46" s="1660">
        <f>(I43-I44)*$H46</f>
        <v>0</v>
      </c>
      <c r="J46" s="1660">
        <f t="shared" ref="J46:Q46" si="19">(J43-J44)*$H46</f>
        <v>0</v>
      </c>
      <c r="K46" s="1660">
        <f t="shared" si="19"/>
        <v>0</v>
      </c>
      <c r="L46" s="1660">
        <f t="shared" si="19"/>
        <v>0</v>
      </c>
      <c r="M46" s="1660">
        <f t="shared" si="19"/>
        <v>0</v>
      </c>
      <c r="N46" s="1660">
        <f t="shared" si="19"/>
        <v>0</v>
      </c>
      <c r="O46" s="1660">
        <f t="shared" si="19"/>
        <v>0</v>
      </c>
      <c r="P46" s="1660">
        <f t="shared" si="19"/>
        <v>0</v>
      </c>
      <c r="Q46" s="1660">
        <f t="shared" si="19"/>
        <v>0</v>
      </c>
    </row>
    <row r="47" spans="3:17" hidden="1">
      <c r="C47" s="1662"/>
      <c r="D47" s="1664" t="s">
        <v>2803</v>
      </c>
      <c r="E47" s="1664"/>
      <c r="F47" s="1665"/>
      <c r="G47" s="1654">
        <f t="shared" si="3"/>
        <v>74</v>
      </c>
      <c r="H47" s="1666">
        <f>CO2計算!$F$22</f>
        <v>0</v>
      </c>
      <c r="I47" s="1660">
        <f t="shared" ref="I47:Q47" si="20">(I43-I45)*$H47</f>
        <v>0</v>
      </c>
      <c r="J47" s="1660">
        <f t="shared" si="20"/>
        <v>0</v>
      </c>
      <c r="K47" s="1660">
        <f t="shared" si="20"/>
        <v>0</v>
      </c>
      <c r="L47" s="1660">
        <f t="shared" si="20"/>
        <v>0</v>
      </c>
      <c r="M47" s="1660">
        <f t="shared" si="20"/>
        <v>0</v>
      </c>
      <c r="N47" s="1660">
        <f t="shared" si="20"/>
        <v>0</v>
      </c>
      <c r="O47" s="1660">
        <f t="shared" si="20"/>
        <v>0</v>
      </c>
      <c r="P47" s="1660">
        <f t="shared" si="20"/>
        <v>0</v>
      </c>
      <c r="Q47" s="1660">
        <f t="shared" si="20"/>
        <v>0</v>
      </c>
    </row>
    <row r="48" spans="3:17" hidden="1">
      <c r="C48" s="1668"/>
      <c r="D48" s="1664" t="s">
        <v>480</v>
      </c>
      <c r="E48" s="1664"/>
      <c r="F48" s="1665"/>
      <c r="G48" s="1654">
        <f t="shared" si="3"/>
        <v>75</v>
      </c>
      <c r="H48" s="1670"/>
      <c r="I48" s="1660">
        <f t="shared" ref="I48:Q48" si="21">I43-I46-I47</f>
        <v>10.405000000000001</v>
      </c>
      <c r="J48" s="1660">
        <f t="shared" si="21"/>
        <v>10.405000000000001</v>
      </c>
      <c r="K48" s="1660">
        <f t="shared" si="21"/>
        <v>10.405000000000001</v>
      </c>
      <c r="L48" s="1660">
        <f t="shared" si="21"/>
        <v>12.261000000000001</v>
      </c>
      <c r="M48" s="1660">
        <f t="shared" si="21"/>
        <v>12.261000000000001</v>
      </c>
      <c r="N48" s="1660">
        <f t="shared" si="21"/>
        <v>12.261000000000001</v>
      </c>
      <c r="O48" s="1660">
        <f t="shared" si="21"/>
        <v>13.704000000000001</v>
      </c>
      <c r="P48" s="1660">
        <f t="shared" si="21"/>
        <v>13.704000000000001</v>
      </c>
      <c r="Q48" s="1660">
        <f t="shared" si="21"/>
        <v>13.704000000000001</v>
      </c>
    </row>
    <row r="49" spans="3:17">
      <c r="C49" s="1655" t="s">
        <v>521</v>
      </c>
      <c r="D49" s="1648"/>
      <c r="E49" s="1648"/>
      <c r="F49" s="1649"/>
      <c r="G49" s="1654">
        <f t="shared" si="3"/>
        <v>80</v>
      </c>
      <c r="H49" s="1654"/>
      <c r="I49" s="1657">
        <v>11.119000000000002</v>
      </c>
      <c r="J49" s="1657">
        <v>11.119000000000002</v>
      </c>
      <c r="K49" s="1657">
        <v>11.119000000000002</v>
      </c>
      <c r="L49" s="1657">
        <v>12.770000000000001</v>
      </c>
      <c r="M49" s="1657">
        <v>12.770000000000001</v>
      </c>
      <c r="N49" s="1657">
        <v>12.770000000000001</v>
      </c>
      <c r="O49" s="1657">
        <v>13.53</v>
      </c>
      <c r="P49" s="1657">
        <v>13.53</v>
      </c>
      <c r="Q49" s="1657">
        <v>13.53</v>
      </c>
    </row>
    <row r="50" spans="3:17">
      <c r="C50" s="1658"/>
      <c r="D50" s="863" t="s">
        <v>2401</v>
      </c>
      <c r="E50" s="863"/>
      <c r="F50" s="1659">
        <v>1</v>
      </c>
      <c r="G50" s="1654">
        <f t="shared" si="3"/>
        <v>81</v>
      </c>
      <c r="H50" s="1654"/>
      <c r="I50" s="1660">
        <v>5.5570000000000004</v>
      </c>
      <c r="J50" s="1660">
        <v>5.5570000000000004</v>
      </c>
      <c r="K50" s="1660">
        <v>5.5570000000000004</v>
      </c>
      <c r="L50" s="1660">
        <v>5.6859999999999999</v>
      </c>
      <c r="M50" s="1660">
        <v>5.6859999999999999</v>
      </c>
      <c r="N50" s="1660">
        <v>5.6859999999999999</v>
      </c>
      <c r="O50" s="1660">
        <v>5.61</v>
      </c>
      <c r="P50" s="1660">
        <v>5.61</v>
      </c>
      <c r="Q50" s="1660">
        <v>5.61</v>
      </c>
    </row>
    <row r="51" spans="3:17">
      <c r="C51" s="1658"/>
      <c r="D51" s="863" t="s">
        <v>2402</v>
      </c>
      <c r="E51" s="863"/>
      <c r="F51" s="1659">
        <v>1</v>
      </c>
      <c r="G51" s="1654">
        <f t="shared" si="3"/>
        <v>82</v>
      </c>
      <c r="H51" s="1661"/>
      <c r="I51" s="1660">
        <v>10.67</v>
      </c>
      <c r="J51" s="1660">
        <v>10.67</v>
      </c>
      <c r="K51" s="1660">
        <v>10.67</v>
      </c>
      <c r="L51" s="1660">
        <v>11.715999999999999</v>
      </c>
      <c r="M51" s="1660">
        <v>11.715999999999999</v>
      </c>
      <c r="N51" s="1660">
        <v>11.715999999999999</v>
      </c>
      <c r="O51" s="1660">
        <v>12.681000000000001</v>
      </c>
      <c r="P51" s="1660">
        <v>12.681000000000001</v>
      </c>
      <c r="Q51" s="1660">
        <v>12.681000000000001</v>
      </c>
    </row>
    <row r="52" spans="3:17" hidden="1">
      <c r="C52" s="1662"/>
      <c r="D52" s="1664" t="s">
        <v>2802</v>
      </c>
      <c r="E52" s="1664"/>
      <c r="F52" s="1665"/>
      <c r="G52" s="1654">
        <f t="shared" si="3"/>
        <v>83</v>
      </c>
      <c r="H52" s="1666">
        <f>CO2計算!$F$21</f>
        <v>0</v>
      </c>
      <c r="I52" s="1660">
        <f>(I49-I50)*$H52</f>
        <v>0</v>
      </c>
      <c r="J52" s="1660">
        <f t="shared" ref="J52:Q52" si="22">(J49-J50)*$H52</f>
        <v>0</v>
      </c>
      <c r="K52" s="1660">
        <f t="shared" si="22"/>
        <v>0</v>
      </c>
      <c r="L52" s="1660">
        <f t="shared" si="22"/>
        <v>0</v>
      </c>
      <c r="M52" s="1660">
        <f t="shared" si="22"/>
        <v>0</v>
      </c>
      <c r="N52" s="1660">
        <f t="shared" si="22"/>
        <v>0</v>
      </c>
      <c r="O52" s="1660">
        <f t="shared" si="22"/>
        <v>0</v>
      </c>
      <c r="P52" s="1660">
        <f t="shared" si="22"/>
        <v>0</v>
      </c>
      <c r="Q52" s="1660">
        <f t="shared" si="22"/>
        <v>0</v>
      </c>
    </row>
    <row r="53" spans="3:17" hidden="1">
      <c r="C53" s="1662"/>
      <c r="D53" s="1664" t="s">
        <v>2803</v>
      </c>
      <c r="E53" s="1664"/>
      <c r="F53" s="1665"/>
      <c r="G53" s="1654">
        <f t="shared" si="3"/>
        <v>84</v>
      </c>
      <c r="H53" s="1666">
        <f>CO2計算!$F$22</f>
        <v>0</v>
      </c>
      <c r="I53" s="1660">
        <f t="shared" ref="I53:Q53" si="23">(I49-I51)*$H53</f>
        <v>0</v>
      </c>
      <c r="J53" s="1660">
        <f t="shared" si="23"/>
        <v>0</v>
      </c>
      <c r="K53" s="1660">
        <f t="shared" si="23"/>
        <v>0</v>
      </c>
      <c r="L53" s="1660">
        <f t="shared" si="23"/>
        <v>0</v>
      </c>
      <c r="M53" s="1660">
        <f t="shared" si="23"/>
        <v>0</v>
      </c>
      <c r="N53" s="1660">
        <f t="shared" si="23"/>
        <v>0</v>
      </c>
      <c r="O53" s="1660">
        <f t="shared" si="23"/>
        <v>0</v>
      </c>
      <c r="P53" s="1660">
        <f t="shared" si="23"/>
        <v>0</v>
      </c>
      <c r="Q53" s="1660">
        <f t="shared" si="23"/>
        <v>0</v>
      </c>
    </row>
    <row r="54" spans="3:17" hidden="1">
      <c r="C54" s="1668"/>
      <c r="D54" s="1664" t="s">
        <v>480</v>
      </c>
      <c r="E54" s="1664"/>
      <c r="F54" s="1665"/>
      <c r="G54" s="1654">
        <f t="shared" si="3"/>
        <v>85</v>
      </c>
      <c r="H54" s="1670"/>
      <c r="I54" s="1660">
        <f t="shared" ref="I54:Q54" si="24">I49-I52-I53</f>
        <v>11.119000000000002</v>
      </c>
      <c r="J54" s="1660">
        <f t="shared" si="24"/>
        <v>11.119000000000002</v>
      </c>
      <c r="K54" s="1660">
        <f t="shared" si="24"/>
        <v>11.119000000000002</v>
      </c>
      <c r="L54" s="1660">
        <f t="shared" si="24"/>
        <v>12.770000000000001</v>
      </c>
      <c r="M54" s="1660">
        <f t="shared" si="24"/>
        <v>12.770000000000001</v>
      </c>
      <c r="N54" s="1660">
        <f t="shared" si="24"/>
        <v>12.770000000000001</v>
      </c>
      <c r="O54" s="1660">
        <f t="shared" si="24"/>
        <v>13.53</v>
      </c>
      <c r="P54" s="1660">
        <f t="shared" si="24"/>
        <v>13.53</v>
      </c>
      <c r="Q54" s="1660">
        <f t="shared" si="24"/>
        <v>13.53</v>
      </c>
    </row>
    <row r="55" spans="3:17">
      <c r="C55" s="1655" t="s">
        <v>2089</v>
      </c>
      <c r="D55" s="1648"/>
      <c r="E55" s="1648"/>
      <c r="F55" s="1649"/>
      <c r="G55" s="1654">
        <f t="shared" si="3"/>
        <v>90</v>
      </c>
      <c r="H55" s="1654"/>
      <c r="I55" s="1657">
        <v>15.641</v>
      </c>
      <c r="J55" s="1657">
        <v>7.8210000000000006</v>
      </c>
      <c r="K55" s="1657">
        <v>5.2140000000000004</v>
      </c>
      <c r="L55" s="1657">
        <v>19.619999999999997</v>
      </c>
      <c r="M55" s="1657">
        <v>9.8079999999999998</v>
      </c>
      <c r="N55" s="1657">
        <v>6.5390000000000006</v>
      </c>
      <c r="O55" s="1657">
        <v>22.378</v>
      </c>
      <c r="P55" s="1657">
        <v>11.187999999999999</v>
      </c>
      <c r="Q55" s="1657">
        <v>7.4590000000000005</v>
      </c>
    </row>
    <row r="56" spans="3:17">
      <c r="C56" s="1658"/>
      <c r="D56" s="863" t="s">
        <v>2401</v>
      </c>
      <c r="E56" s="863"/>
      <c r="F56" s="1659">
        <v>1</v>
      </c>
      <c r="G56" s="1654">
        <f t="shared" si="3"/>
        <v>91</v>
      </c>
      <c r="H56" s="1654"/>
      <c r="I56" s="1660">
        <v>9.0940000000000012</v>
      </c>
      <c r="J56" s="1660">
        <v>4.5460000000000003</v>
      </c>
      <c r="K56" s="1660">
        <v>3.0309999999999997</v>
      </c>
      <c r="L56" s="1660">
        <v>8.8330000000000002</v>
      </c>
      <c r="M56" s="1660">
        <v>4.4160000000000004</v>
      </c>
      <c r="N56" s="1660">
        <v>2.9430000000000001</v>
      </c>
      <c r="O56" s="1660">
        <v>8.7469999999999999</v>
      </c>
      <c r="P56" s="1660">
        <v>4.3730000000000002</v>
      </c>
      <c r="Q56" s="1660">
        <v>2.915</v>
      </c>
    </row>
    <row r="57" spans="3:17">
      <c r="C57" s="1658"/>
      <c r="D57" s="863" t="s">
        <v>2402</v>
      </c>
      <c r="E57" s="863"/>
      <c r="F57" s="1659">
        <v>1</v>
      </c>
      <c r="G57" s="1654">
        <f t="shared" si="3"/>
        <v>92</v>
      </c>
      <c r="H57" s="1661"/>
      <c r="I57" s="1660">
        <v>14.974</v>
      </c>
      <c r="J57" s="1660">
        <v>7.4880000000000004</v>
      </c>
      <c r="K57" s="1660">
        <v>4.9910000000000005</v>
      </c>
      <c r="L57" s="1660">
        <v>18.148999999999997</v>
      </c>
      <c r="M57" s="1660">
        <v>9.0730000000000004</v>
      </c>
      <c r="N57" s="1660">
        <v>6.0490000000000004</v>
      </c>
      <c r="O57" s="1660">
        <v>20.89</v>
      </c>
      <c r="P57" s="1660">
        <v>10.443999999999999</v>
      </c>
      <c r="Q57" s="1660">
        <v>6.9620000000000006</v>
      </c>
    </row>
    <row r="58" spans="3:17" ht="13.5" hidden="1" customHeight="1">
      <c r="C58" s="1662"/>
      <c r="D58" s="1663"/>
      <c r="E58" s="1664" t="s">
        <v>2802</v>
      </c>
      <c r="F58" s="1665"/>
      <c r="G58" s="1654">
        <f t="shared" si="3"/>
        <v>93</v>
      </c>
      <c r="H58" s="1666">
        <f>CO2計算!$F$21</f>
        <v>0</v>
      </c>
      <c r="I58" s="1660">
        <f>(I55-I56)*$H58</f>
        <v>0</v>
      </c>
      <c r="J58" s="1660">
        <f t="shared" ref="J58:Q58" si="25">(J55-J56)*$H58</f>
        <v>0</v>
      </c>
      <c r="K58" s="1660">
        <f t="shared" si="25"/>
        <v>0</v>
      </c>
      <c r="L58" s="1660">
        <f t="shared" si="25"/>
        <v>0</v>
      </c>
      <c r="M58" s="1660">
        <f t="shared" si="25"/>
        <v>0</v>
      </c>
      <c r="N58" s="1660">
        <f t="shared" si="25"/>
        <v>0</v>
      </c>
      <c r="O58" s="1660">
        <f t="shared" si="25"/>
        <v>0</v>
      </c>
      <c r="P58" s="1660">
        <f t="shared" si="25"/>
        <v>0</v>
      </c>
      <c r="Q58" s="1660">
        <f t="shared" si="25"/>
        <v>0</v>
      </c>
    </row>
    <row r="59" spans="3:17" ht="13.5" hidden="1" customHeight="1">
      <c r="C59" s="1662"/>
      <c r="D59" s="1652"/>
      <c r="E59" s="1664" t="s">
        <v>2803</v>
      </c>
      <c r="F59" s="1665"/>
      <c r="G59" s="1654">
        <f t="shared" si="3"/>
        <v>94</v>
      </c>
      <c r="H59" s="1666">
        <f>CO2計算!$F$22</f>
        <v>0</v>
      </c>
      <c r="I59" s="1660">
        <f t="shared" ref="I59:Q59" si="26">(I55-I57)*$H59</f>
        <v>0</v>
      </c>
      <c r="J59" s="1660">
        <f t="shared" si="26"/>
        <v>0</v>
      </c>
      <c r="K59" s="1660">
        <f t="shared" si="26"/>
        <v>0</v>
      </c>
      <c r="L59" s="1660">
        <f t="shared" si="26"/>
        <v>0</v>
      </c>
      <c r="M59" s="1660">
        <f t="shared" si="26"/>
        <v>0</v>
      </c>
      <c r="N59" s="1660">
        <f t="shared" si="26"/>
        <v>0</v>
      </c>
      <c r="O59" s="1660">
        <f t="shared" si="26"/>
        <v>0</v>
      </c>
      <c r="P59" s="1660">
        <f t="shared" si="26"/>
        <v>0</v>
      </c>
      <c r="Q59" s="1660">
        <f t="shared" si="26"/>
        <v>0</v>
      </c>
    </row>
    <row r="60" spans="3:17" ht="13.5" hidden="1" customHeight="1">
      <c r="C60" s="1668"/>
      <c r="D60" s="1669"/>
      <c r="E60" s="1664" t="s">
        <v>480</v>
      </c>
      <c r="F60" s="1665"/>
      <c r="G60" s="1654">
        <f t="shared" si="3"/>
        <v>95</v>
      </c>
      <c r="H60" s="1670"/>
      <c r="I60" s="1660">
        <f t="shared" ref="I60:Q60" si="27">I55-I58-I59</f>
        <v>15.641</v>
      </c>
      <c r="J60" s="1660">
        <f t="shared" si="27"/>
        <v>7.8210000000000006</v>
      </c>
      <c r="K60" s="1660">
        <f t="shared" si="27"/>
        <v>5.2140000000000004</v>
      </c>
      <c r="L60" s="1660">
        <f t="shared" si="27"/>
        <v>19.619999999999997</v>
      </c>
      <c r="M60" s="1660">
        <f t="shared" si="27"/>
        <v>9.8079999999999998</v>
      </c>
      <c r="N60" s="1660">
        <f t="shared" si="27"/>
        <v>6.5390000000000006</v>
      </c>
      <c r="O60" s="1660">
        <f t="shared" si="27"/>
        <v>22.378</v>
      </c>
      <c r="P60" s="1660">
        <f t="shared" si="27"/>
        <v>11.187999999999999</v>
      </c>
      <c r="Q60" s="1660">
        <f t="shared" si="27"/>
        <v>7.4590000000000005</v>
      </c>
    </row>
    <row r="61" spans="3:17">
      <c r="C61" s="1671"/>
      <c r="D61" s="1671"/>
      <c r="E61" s="1637"/>
      <c r="F61" s="1637"/>
      <c r="G61" s="1637"/>
      <c r="H61" s="1637"/>
      <c r="I61" s="1637"/>
      <c r="J61" s="1637"/>
      <c r="K61" s="1637"/>
      <c r="L61" s="1637"/>
      <c r="M61" s="1637"/>
      <c r="N61" s="1637"/>
      <c r="O61" s="1637"/>
      <c r="P61" s="1637"/>
      <c r="Q61" s="1637"/>
    </row>
    <row r="62" spans="3:17" ht="16">
      <c r="C62" s="1635" t="s">
        <v>3512</v>
      </c>
      <c r="D62" s="1636"/>
      <c r="E62" s="1637"/>
      <c r="F62" s="1637"/>
      <c r="G62" s="1637"/>
      <c r="H62" s="1637"/>
      <c r="I62" s="1638" t="s">
        <v>332</v>
      </c>
      <c r="J62" s="1639"/>
      <c r="K62" s="1639"/>
      <c r="L62" s="1640"/>
      <c r="M62" s="1640"/>
      <c r="N62" s="1640"/>
      <c r="O62" s="1640"/>
      <c r="P62" s="1640"/>
      <c r="Q62" s="1641"/>
    </row>
    <row r="63" spans="3:17" ht="15">
      <c r="C63" s="1642"/>
      <c r="D63" s="1643" t="s">
        <v>1952</v>
      </c>
      <c r="E63" s="1642"/>
      <c r="F63" s="1642"/>
      <c r="G63" s="1642"/>
      <c r="H63" s="1642"/>
      <c r="I63" s="1644" t="s">
        <v>772</v>
      </c>
      <c r="J63" s="1640" t="s">
        <v>774</v>
      </c>
      <c r="K63" s="1645"/>
      <c r="L63" s="1644" t="s">
        <v>771</v>
      </c>
      <c r="M63" s="1640"/>
      <c r="N63" s="1645"/>
      <c r="O63" s="1644" t="s">
        <v>773</v>
      </c>
      <c r="P63" s="1640"/>
      <c r="Q63" s="1645"/>
    </row>
    <row r="64" spans="3:17">
      <c r="C64" s="1646" t="s">
        <v>423</v>
      </c>
      <c r="D64" s="1647"/>
      <c r="E64" s="1648"/>
      <c r="F64" s="1649"/>
      <c r="G64" s="1672"/>
      <c r="H64" s="1672"/>
      <c r="I64" s="1651" t="s">
        <v>518</v>
      </c>
      <c r="J64" s="1651" t="s">
        <v>519</v>
      </c>
      <c r="K64" s="1651" t="s">
        <v>520</v>
      </c>
      <c r="L64" s="1651" t="s">
        <v>518</v>
      </c>
      <c r="M64" s="1651" t="s">
        <v>519</v>
      </c>
      <c r="N64" s="1651" t="s">
        <v>520</v>
      </c>
      <c r="O64" s="1651" t="s">
        <v>518</v>
      </c>
      <c r="P64" s="1651" t="s">
        <v>519</v>
      </c>
      <c r="Q64" s="1651" t="s">
        <v>520</v>
      </c>
    </row>
    <row r="65" spans="3:17">
      <c r="C65" s="1655" t="s">
        <v>462</v>
      </c>
      <c r="D65" s="1656"/>
      <c r="E65" s="1673"/>
      <c r="F65" s="1674"/>
      <c r="G65" s="1675">
        <v>1</v>
      </c>
      <c r="H65" s="1675"/>
      <c r="I65" s="1676">
        <v>15.990999999999998</v>
      </c>
      <c r="J65" s="1676">
        <v>15.990999999999998</v>
      </c>
      <c r="K65" s="1676">
        <v>15.990999999999998</v>
      </c>
      <c r="L65" s="1676">
        <v>16.456</v>
      </c>
      <c r="M65" s="1676">
        <v>16.456</v>
      </c>
      <c r="N65" s="1676">
        <v>16.456</v>
      </c>
      <c r="O65" s="1676">
        <v>16.21</v>
      </c>
      <c r="P65" s="1676">
        <v>16.21</v>
      </c>
      <c r="Q65" s="1676">
        <v>16.21</v>
      </c>
    </row>
    <row r="66" spans="3:17" ht="13.5" hidden="1" customHeight="1">
      <c r="C66" s="1658"/>
      <c r="D66" s="863" t="s">
        <v>2401</v>
      </c>
      <c r="E66" s="863"/>
      <c r="F66" s="1659">
        <v>1</v>
      </c>
      <c r="G66" s="1675"/>
      <c r="H66" s="1675"/>
      <c r="I66" s="1676"/>
      <c r="J66" s="1676"/>
      <c r="K66" s="1676"/>
      <c r="L66" s="1676"/>
      <c r="M66" s="1676"/>
      <c r="N66" s="1676"/>
      <c r="O66" s="1676"/>
      <c r="P66" s="1676"/>
      <c r="Q66" s="1676"/>
    </row>
    <row r="67" spans="3:17" ht="13.5" hidden="1" customHeight="1">
      <c r="C67" s="1658"/>
      <c r="D67" s="1664" t="s">
        <v>2804</v>
      </c>
      <c r="E67" s="1664"/>
      <c r="F67" s="1677"/>
      <c r="G67" s="1670"/>
      <c r="H67" s="1678">
        <v>0</v>
      </c>
      <c r="I67" s="1676">
        <f>I65-(I65-I66)*$H67</f>
        <v>15.990999999999998</v>
      </c>
      <c r="J67" s="1676">
        <f t="shared" ref="J67:Q67" si="28">J65-(J65-J66)*$H67</f>
        <v>15.990999999999998</v>
      </c>
      <c r="K67" s="1676">
        <f t="shared" si="28"/>
        <v>15.990999999999998</v>
      </c>
      <c r="L67" s="1676">
        <f t="shared" si="28"/>
        <v>16.456</v>
      </c>
      <c r="M67" s="1676">
        <f t="shared" si="28"/>
        <v>16.456</v>
      </c>
      <c r="N67" s="1676">
        <f t="shared" si="28"/>
        <v>16.456</v>
      </c>
      <c r="O67" s="1676">
        <f t="shared" si="28"/>
        <v>16.21</v>
      </c>
      <c r="P67" s="1676">
        <f t="shared" si="28"/>
        <v>16.21</v>
      </c>
      <c r="Q67" s="1676">
        <f t="shared" si="28"/>
        <v>16.21</v>
      </c>
    </row>
    <row r="68" spans="3:17">
      <c r="C68" s="1655" t="s">
        <v>1795</v>
      </c>
      <c r="D68" s="1673"/>
      <c r="E68" s="1673"/>
      <c r="F68" s="1674"/>
      <c r="G68" s="1675">
        <v>2</v>
      </c>
      <c r="H68" s="1675"/>
      <c r="I68" s="1676">
        <v>11.802</v>
      </c>
      <c r="J68" s="1676">
        <v>11.802</v>
      </c>
      <c r="K68" s="1676">
        <v>11.802</v>
      </c>
      <c r="L68" s="1676">
        <v>12.423999999999999</v>
      </c>
      <c r="M68" s="1676">
        <v>12.423999999999999</v>
      </c>
      <c r="N68" s="1676">
        <v>12.423999999999999</v>
      </c>
      <c r="O68" s="1676">
        <v>12.306000000000001</v>
      </c>
      <c r="P68" s="1676">
        <v>12.306000000000001</v>
      </c>
      <c r="Q68" s="1676">
        <v>12.306000000000001</v>
      </c>
    </row>
    <row r="69" spans="3:17" hidden="1">
      <c r="C69" s="1658"/>
      <c r="D69" s="863" t="s">
        <v>2401</v>
      </c>
      <c r="E69" s="863"/>
      <c r="F69" s="1659">
        <v>1</v>
      </c>
      <c r="G69" s="1675"/>
      <c r="H69" s="1675"/>
      <c r="I69" s="1676"/>
      <c r="J69" s="1676"/>
      <c r="K69" s="1676"/>
      <c r="L69" s="1676"/>
      <c r="M69" s="1676"/>
      <c r="N69" s="1676"/>
      <c r="O69" s="1676"/>
      <c r="P69" s="1676"/>
      <c r="Q69" s="1676"/>
    </row>
    <row r="70" spans="3:17" hidden="1">
      <c r="C70" s="1658"/>
      <c r="D70" s="1664" t="s">
        <v>2804</v>
      </c>
      <c r="E70" s="1664"/>
      <c r="F70" s="1677"/>
      <c r="G70" s="1670"/>
      <c r="H70" s="1678">
        <v>0</v>
      </c>
      <c r="I70" s="1676">
        <f t="shared" ref="I70:Q70" si="29">I68-(I68-I69)*$H70</f>
        <v>11.802</v>
      </c>
      <c r="J70" s="1676">
        <f t="shared" si="29"/>
        <v>11.802</v>
      </c>
      <c r="K70" s="1676">
        <f t="shared" si="29"/>
        <v>11.802</v>
      </c>
      <c r="L70" s="1676">
        <f t="shared" si="29"/>
        <v>12.423999999999999</v>
      </c>
      <c r="M70" s="1676">
        <f t="shared" si="29"/>
        <v>12.423999999999999</v>
      </c>
      <c r="N70" s="1676">
        <f t="shared" si="29"/>
        <v>12.423999999999999</v>
      </c>
      <c r="O70" s="1676">
        <f t="shared" si="29"/>
        <v>12.306000000000001</v>
      </c>
      <c r="P70" s="1676">
        <f t="shared" si="29"/>
        <v>12.306000000000001</v>
      </c>
      <c r="Q70" s="1676">
        <f t="shared" si="29"/>
        <v>12.306000000000001</v>
      </c>
    </row>
    <row r="71" spans="3:17">
      <c r="C71" s="1655" t="s">
        <v>1970</v>
      </c>
      <c r="D71" s="1673"/>
      <c r="E71" s="1673"/>
      <c r="F71" s="1674"/>
      <c r="G71" s="1675">
        <v>3</v>
      </c>
      <c r="H71" s="1675"/>
      <c r="I71" s="1676">
        <v>6.88</v>
      </c>
      <c r="J71" s="1676">
        <v>6.88</v>
      </c>
      <c r="K71" s="1676">
        <v>6.88</v>
      </c>
      <c r="L71" s="1676">
        <v>7.7379999999999995</v>
      </c>
      <c r="M71" s="1676">
        <v>7.7379999999999995</v>
      </c>
      <c r="N71" s="1676">
        <v>7.7379999999999995</v>
      </c>
      <c r="O71" s="1676">
        <v>6.91</v>
      </c>
      <c r="P71" s="1676">
        <v>6.91</v>
      </c>
      <c r="Q71" s="1676">
        <v>6.91</v>
      </c>
    </row>
    <row r="72" spans="3:17" hidden="1">
      <c r="C72" s="1658"/>
      <c r="D72" s="863" t="s">
        <v>2401</v>
      </c>
      <c r="E72" s="863"/>
      <c r="F72" s="1659">
        <v>1</v>
      </c>
      <c r="G72" s="1675"/>
      <c r="H72" s="1675"/>
      <c r="I72" s="1676"/>
      <c r="J72" s="1676"/>
      <c r="K72" s="1676"/>
      <c r="L72" s="1676"/>
      <c r="M72" s="1676"/>
      <c r="N72" s="1676"/>
      <c r="O72" s="1676"/>
      <c r="P72" s="1676"/>
      <c r="Q72" s="1676"/>
    </row>
    <row r="73" spans="3:17" hidden="1">
      <c r="C73" s="1658"/>
      <c r="D73" s="1664" t="s">
        <v>2804</v>
      </c>
      <c r="E73" s="1664"/>
      <c r="F73" s="1677"/>
      <c r="G73" s="1670"/>
      <c r="H73" s="1678">
        <v>0</v>
      </c>
      <c r="I73" s="1676">
        <f>I71-(I71-I72)*$H73</f>
        <v>6.88</v>
      </c>
      <c r="J73" s="1676">
        <f>J71-(J71-J72)*$H73</f>
        <v>6.88</v>
      </c>
      <c r="K73" s="1676">
        <f>K71-(K71-K72)*$H73</f>
        <v>6.88</v>
      </c>
      <c r="L73" s="1676">
        <v>13.193999999999999</v>
      </c>
      <c r="M73" s="1676">
        <v>13.193999999999999</v>
      </c>
      <c r="N73" s="1676">
        <v>13.193999999999999</v>
      </c>
      <c r="O73" s="1676">
        <f>O71-(O71-O72)*$H73</f>
        <v>6.91</v>
      </c>
      <c r="P73" s="1676">
        <f>P71-(P71-P72)*$H73</f>
        <v>6.91</v>
      </c>
      <c r="Q73" s="1676">
        <f>Q71-(Q71-Q72)*$H73</f>
        <v>6.91</v>
      </c>
    </row>
    <row r="74" spans="3:17">
      <c r="C74" s="1655" t="s">
        <v>2088</v>
      </c>
      <c r="D74" s="1673"/>
      <c r="E74" s="1673"/>
      <c r="F74" s="1674"/>
      <c r="G74" s="1675">
        <v>4</v>
      </c>
      <c r="H74" s="1675"/>
      <c r="I74" s="1676">
        <v>6.88</v>
      </c>
      <c r="J74" s="1676">
        <v>6.88</v>
      </c>
      <c r="K74" s="1676">
        <v>6.88</v>
      </c>
      <c r="L74" s="1676">
        <v>7.7379999999999995</v>
      </c>
      <c r="M74" s="1676">
        <v>7.7379999999999995</v>
      </c>
      <c r="N74" s="1676">
        <v>7.7379999999999995</v>
      </c>
      <c r="O74" s="1676">
        <v>6.91</v>
      </c>
      <c r="P74" s="1676">
        <v>6.91</v>
      </c>
      <c r="Q74" s="1676">
        <v>6.91</v>
      </c>
    </row>
    <row r="75" spans="3:17" hidden="1">
      <c r="C75" s="1658"/>
      <c r="D75" s="863" t="s">
        <v>2401</v>
      </c>
      <c r="E75" s="863"/>
      <c r="F75" s="1659">
        <v>1</v>
      </c>
      <c r="G75" s="1675"/>
      <c r="H75" s="1675"/>
      <c r="I75" s="1676"/>
      <c r="J75" s="1676"/>
      <c r="K75" s="1676"/>
      <c r="L75" s="1676"/>
      <c r="M75" s="1676"/>
      <c r="N75" s="1676"/>
      <c r="O75" s="1676"/>
      <c r="P75" s="1676"/>
      <c r="Q75" s="1676"/>
    </row>
    <row r="76" spans="3:17" hidden="1">
      <c r="C76" s="1658"/>
      <c r="D76" s="1664" t="s">
        <v>2804</v>
      </c>
      <c r="E76" s="1664"/>
      <c r="F76" s="1677"/>
      <c r="G76" s="1670"/>
      <c r="H76" s="1678">
        <v>0</v>
      </c>
      <c r="I76" s="1676">
        <f t="shared" ref="I76:Q76" si="30">I74-(I74-I75)*$H76</f>
        <v>6.88</v>
      </c>
      <c r="J76" s="1676">
        <f t="shared" si="30"/>
        <v>6.88</v>
      </c>
      <c r="K76" s="1676">
        <f t="shared" si="30"/>
        <v>6.88</v>
      </c>
      <c r="L76" s="1676">
        <f t="shared" si="30"/>
        <v>7.7379999999999995</v>
      </c>
      <c r="M76" s="1676">
        <f t="shared" si="30"/>
        <v>7.7379999999999995</v>
      </c>
      <c r="N76" s="1676">
        <f t="shared" si="30"/>
        <v>7.7379999999999995</v>
      </c>
      <c r="O76" s="1676">
        <f t="shared" si="30"/>
        <v>6.91</v>
      </c>
      <c r="P76" s="1676">
        <f t="shared" si="30"/>
        <v>6.91</v>
      </c>
      <c r="Q76" s="1676">
        <f t="shared" si="30"/>
        <v>6.91</v>
      </c>
    </row>
    <row r="77" spans="3:17">
      <c r="C77" s="1655" t="s">
        <v>1972</v>
      </c>
      <c r="D77" s="1673"/>
      <c r="E77" s="1673"/>
      <c r="F77" s="1674"/>
      <c r="G77" s="1675">
        <v>5</v>
      </c>
      <c r="H77" s="1675"/>
      <c r="I77" s="1676">
        <v>12.809999999999999</v>
      </c>
      <c r="J77" s="1676">
        <v>12.809999999999999</v>
      </c>
      <c r="K77" s="1676">
        <v>12.809999999999999</v>
      </c>
      <c r="L77" s="1676">
        <v>13.426</v>
      </c>
      <c r="M77" s="1676">
        <v>13.426</v>
      </c>
      <c r="N77" s="1676">
        <v>13.426</v>
      </c>
      <c r="O77" s="1676">
        <v>13.251000000000001</v>
      </c>
      <c r="P77" s="1676">
        <v>13.251000000000001</v>
      </c>
      <c r="Q77" s="1676">
        <v>13.251000000000001</v>
      </c>
    </row>
    <row r="78" spans="3:17" hidden="1">
      <c r="C78" s="1658"/>
      <c r="D78" s="863" t="s">
        <v>2401</v>
      </c>
      <c r="E78" s="863"/>
      <c r="F78" s="1659">
        <v>1</v>
      </c>
      <c r="G78" s="1675"/>
      <c r="H78" s="1675"/>
      <c r="I78" s="1676"/>
      <c r="J78" s="1676"/>
      <c r="K78" s="1676"/>
      <c r="L78" s="1676"/>
      <c r="M78" s="1676"/>
      <c r="N78" s="1676"/>
      <c r="O78" s="1676"/>
      <c r="P78" s="1676"/>
      <c r="Q78" s="1676"/>
    </row>
    <row r="79" spans="3:17" hidden="1">
      <c r="C79" s="1658"/>
      <c r="D79" s="1664" t="s">
        <v>2804</v>
      </c>
      <c r="E79" s="1664"/>
      <c r="F79" s="1677"/>
      <c r="G79" s="1670"/>
      <c r="H79" s="1678">
        <v>0</v>
      </c>
      <c r="I79" s="1676">
        <f t="shared" ref="I79:Q79" si="31">I77-(I77-I78)*$H79</f>
        <v>12.809999999999999</v>
      </c>
      <c r="J79" s="1676">
        <f t="shared" si="31"/>
        <v>12.809999999999999</v>
      </c>
      <c r="K79" s="1676">
        <f t="shared" si="31"/>
        <v>12.809999999999999</v>
      </c>
      <c r="L79" s="1676">
        <f t="shared" si="31"/>
        <v>13.426</v>
      </c>
      <c r="M79" s="1676">
        <f t="shared" si="31"/>
        <v>13.426</v>
      </c>
      <c r="N79" s="1676">
        <f t="shared" si="31"/>
        <v>13.426</v>
      </c>
      <c r="O79" s="1676">
        <f t="shared" si="31"/>
        <v>13.251000000000001</v>
      </c>
      <c r="P79" s="1676">
        <f t="shared" si="31"/>
        <v>13.251000000000001</v>
      </c>
      <c r="Q79" s="1676">
        <f t="shared" si="31"/>
        <v>13.251000000000001</v>
      </c>
    </row>
    <row r="80" spans="3:17">
      <c r="C80" s="1655" t="s">
        <v>478</v>
      </c>
      <c r="D80" s="1648"/>
      <c r="E80" s="1648"/>
      <c r="F80" s="1674"/>
      <c r="G80" s="1675">
        <v>6</v>
      </c>
      <c r="H80" s="1675"/>
      <c r="I80" s="1676">
        <v>8.6499999999999986</v>
      </c>
      <c r="J80" s="1676">
        <v>8.6499999999999986</v>
      </c>
      <c r="K80" s="1676">
        <v>8.6499999999999986</v>
      </c>
      <c r="L80" s="1676">
        <v>9.4220000000000006</v>
      </c>
      <c r="M80" s="1676">
        <v>9.4220000000000006</v>
      </c>
      <c r="N80" s="1676">
        <v>9.4220000000000006</v>
      </c>
      <c r="O80" s="1676">
        <v>9.0609999999999999</v>
      </c>
      <c r="P80" s="1676">
        <v>9.0609999999999999</v>
      </c>
      <c r="Q80" s="1676">
        <v>9.0609999999999999</v>
      </c>
    </row>
    <row r="81" spans="3:21" hidden="1">
      <c r="C81" s="1658"/>
      <c r="D81" s="863" t="s">
        <v>2401</v>
      </c>
      <c r="E81" s="863"/>
      <c r="F81" s="1659">
        <v>1</v>
      </c>
      <c r="G81" s="1675"/>
      <c r="H81" s="1675"/>
      <c r="I81" s="1676"/>
      <c r="J81" s="1676"/>
      <c r="K81" s="1676"/>
      <c r="L81" s="1676"/>
      <c r="M81" s="1676"/>
      <c r="N81" s="1676"/>
      <c r="O81" s="1676"/>
      <c r="P81" s="1676"/>
      <c r="Q81" s="1676"/>
    </row>
    <row r="82" spans="3:21" hidden="1">
      <c r="C82" s="1679"/>
      <c r="D82" s="1664" t="s">
        <v>2804</v>
      </c>
      <c r="E82" s="1664"/>
      <c r="F82" s="1677"/>
      <c r="G82" s="1670"/>
      <c r="H82" s="1678">
        <v>0</v>
      </c>
      <c r="I82" s="1676">
        <f t="shared" ref="I82:Q82" si="32">I80-(I80-I81)*$H82</f>
        <v>8.6499999999999986</v>
      </c>
      <c r="J82" s="1676">
        <f t="shared" si="32"/>
        <v>8.6499999999999986</v>
      </c>
      <c r="K82" s="1676">
        <f t="shared" si="32"/>
        <v>8.6499999999999986</v>
      </c>
      <c r="L82" s="1676">
        <f t="shared" si="32"/>
        <v>9.4220000000000006</v>
      </c>
      <c r="M82" s="1676">
        <f t="shared" si="32"/>
        <v>9.4220000000000006</v>
      </c>
      <c r="N82" s="1676">
        <f t="shared" si="32"/>
        <v>9.4220000000000006</v>
      </c>
      <c r="O82" s="1676">
        <f t="shared" si="32"/>
        <v>9.0609999999999999</v>
      </c>
      <c r="P82" s="1676">
        <f t="shared" si="32"/>
        <v>9.0609999999999999</v>
      </c>
      <c r="Q82" s="1676">
        <f t="shared" si="32"/>
        <v>9.0609999999999999</v>
      </c>
    </row>
    <row r="83" spans="3:21">
      <c r="C83" s="1655" t="s">
        <v>1974</v>
      </c>
      <c r="D83" s="1673"/>
      <c r="E83" s="1673"/>
      <c r="F83" s="1674"/>
      <c r="G83" s="1675">
        <v>7</v>
      </c>
      <c r="H83" s="1675"/>
      <c r="I83" s="1676">
        <v>15.425999999999998</v>
      </c>
      <c r="J83" s="1676">
        <v>15.425999999999998</v>
      </c>
      <c r="K83" s="1676">
        <v>15.425999999999998</v>
      </c>
      <c r="L83" s="1676">
        <v>16.053999999999998</v>
      </c>
      <c r="M83" s="1676">
        <v>16.053999999999998</v>
      </c>
      <c r="N83" s="1676">
        <v>16.053999999999998</v>
      </c>
      <c r="O83" s="1676">
        <v>15.893999999999998</v>
      </c>
      <c r="P83" s="1676">
        <v>15.893999999999998</v>
      </c>
      <c r="Q83" s="1676">
        <v>15.893999999999998</v>
      </c>
    </row>
    <row r="84" spans="3:21" hidden="1">
      <c r="C84" s="1658"/>
      <c r="D84" s="863" t="s">
        <v>2401</v>
      </c>
      <c r="E84" s="863"/>
      <c r="F84" s="1659">
        <v>1</v>
      </c>
      <c r="G84" s="1675"/>
      <c r="H84" s="1675"/>
      <c r="I84" s="1676"/>
      <c r="J84" s="1676"/>
      <c r="K84" s="1676"/>
      <c r="L84" s="1676"/>
      <c r="M84" s="1676"/>
      <c r="N84" s="1676"/>
      <c r="O84" s="1676"/>
      <c r="P84" s="1676"/>
      <c r="Q84" s="1676"/>
    </row>
    <row r="85" spans="3:21" hidden="1">
      <c r="C85" s="1658"/>
      <c r="D85" s="1664" t="s">
        <v>2804</v>
      </c>
      <c r="E85" s="1664"/>
      <c r="F85" s="1677"/>
      <c r="G85" s="1670"/>
      <c r="H85" s="1678">
        <v>0</v>
      </c>
      <c r="I85" s="1676">
        <f t="shared" ref="I85:Q85" si="33">I83-(I83-I84)*$H85</f>
        <v>15.425999999999998</v>
      </c>
      <c r="J85" s="1676">
        <f t="shared" si="33"/>
        <v>15.425999999999998</v>
      </c>
      <c r="K85" s="1676">
        <f t="shared" si="33"/>
        <v>15.425999999999998</v>
      </c>
      <c r="L85" s="1676">
        <f t="shared" si="33"/>
        <v>16.053999999999998</v>
      </c>
      <c r="M85" s="1676">
        <f t="shared" si="33"/>
        <v>16.053999999999998</v>
      </c>
      <c r="N85" s="1676">
        <f t="shared" si="33"/>
        <v>16.053999999999998</v>
      </c>
      <c r="O85" s="1676">
        <f t="shared" si="33"/>
        <v>15.893999999999998</v>
      </c>
      <c r="P85" s="1676">
        <f t="shared" si="33"/>
        <v>15.893999999999998</v>
      </c>
      <c r="Q85" s="1676">
        <f t="shared" si="33"/>
        <v>15.893999999999998</v>
      </c>
    </row>
    <row r="86" spans="3:21">
      <c r="C86" s="1655" t="s">
        <v>474</v>
      </c>
      <c r="D86" s="1673"/>
      <c r="E86" s="1673"/>
      <c r="F86" s="1674"/>
      <c r="G86" s="1675">
        <v>8</v>
      </c>
      <c r="H86" s="1675"/>
      <c r="I86" s="1676">
        <v>13.297999999999998</v>
      </c>
      <c r="J86" s="1676">
        <v>13.297999999999998</v>
      </c>
      <c r="K86" s="1676">
        <v>13.297999999999998</v>
      </c>
      <c r="L86" s="1676">
        <v>13.942</v>
      </c>
      <c r="M86" s="1676">
        <v>13.942</v>
      </c>
      <c r="N86" s="1676">
        <v>13.942</v>
      </c>
      <c r="O86" s="1676">
        <v>13.670999999999999</v>
      </c>
      <c r="P86" s="1676">
        <v>13.670999999999999</v>
      </c>
      <c r="Q86" s="1676">
        <v>13.670999999999999</v>
      </c>
    </row>
    <row r="87" spans="3:21" hidden="1">
      <c r="C87" s="1658"/>
      <c r="D87" s="863" t="s">
        <v>2401</v>
      </c>
      <c r="E87" s="863"/>
      <c r="F87" s="1659">
        <v>1</v>
      </c>
      <c r="G87" s="1675"/>
      <c r="H87" s="1675"/>
      <c r="I87" s="1680"/>
      <c r="J87" s="1680"/>
      <c r="K87" s="1680"/>
      <c r="L87" s="1680"/>
      <c r="M87" s="1680"/>
      <c r="N87" s="1680"/>
      <c r="O87" s="1680"/>
      <c r="P87" s="1680"/>
      <c r="Q87" s="1680"/>
    </row>
    <row r="88" spans="3:21" hidden="1">
      <c r="C88" s="1658"/>
      <c r="D88" s="1664" t="s">
        <v>2804</v>
      </c>
      <c r="E88" s="1664"/>
      <c r="F88" s="1677"/>
      <c r="G88" s="1670"/>
      <c r="H88" s="1678">
        <v>0</v>
      </c>
      <c r="I88" s="1676">
        <f t="shared" ref="I88:Q88" si="34">I86-(I86-I87)*$H88</f>
        <v>13.297999999999998</v>
      </c>
      <c r="J88" s="1676">
        <f t="shared" si="34"/>
        <v>13.297999999999998</v>
      </c>
      <c r="K88" s="1676">
        <f t="shared" si="34"/>
        <v>13.297999999999998</v>
      </c>
      <c r="L88" s="1676">
        <f t="shared" si="34"/>
        <v>13.942</v>
      </c>
      <c r="M88" s="1676">
        <f t="shared" si="34"/>
        <v>13.942</v>
      </c>
      <c r="N88" s="1676">
        <f t="shared" si="34"/>
        <v>13.942</v>
      </c>
      <c r="O88" s="1676">
        <f t="shared" si="34"/>
        <v>13.670999999999999</v>
      </c>
      <c r="P88" s="1676">
        <f t="shared" si="34"/>
        <v>13.670999999999999</v>
      </c>
      <c r="Q88" s="1676">
        <f t="shared" si="34"/>
        <v>13.670999999999999</v>
      </c>
    </row>
    <row r="89" spans="3:21">
      <c r="C89" s="1655" t="s">
        <v>2089</v>
      </c>
      <c r="D89" s="1648"/>
      <c r="E89" s="1648"/>
      <c r="F89" s="1674"/>
      <c r="G89" s="1675">
        <v>9</v>
      </c>
      <c r="H89" s="1675"/>
      <c r="I89" s="1680">
        <v>8.0190000000000001</v>
      </c>
      <c r="J89" s="1680">
        <v>9.7210000000000001</v>
      </c>
      <c r="K89" s="1680">
        <v>10.979000000000001</v>
      </c>
      <c r="L89" s="1680">
        <v>8.3709999999999987</v>
      </c>
      <c r="M89" s="1680">
        <v>9.7349999999999994</v>
      </c>
      <c r="N89" s="1680">
        <v>10.863</v>
      </c>
      <c r="O89" s="1680">
        <v>8.3640000000000008</v>
      </c>
      <c r="P89" s="1680">
        <v>9.68</v>
      </c>
      <c r="Q89" s="1680">
        <v>10.783000000000001</v>
      </c>
    </row>
    <row r="90" spans="3:21" ht="12.75" hidden="1" customHeight="1">
      <c r="C90" s="1658"/>
      <c r="D90" s="863" t="s">
        <v>2401</v>
      </c>
      <c r="E90" s="863"/>
      <c r="F90" s="1659">
        <v>1</v>
      </c>
      <c r="G90" s="1681"/>
      <c r="H90" s="1681"/>
      <c r="I90" s="1676"/>
      <c r="J90" s="1676"/>
      <c r="K90" s="1676"/>
      <c r="L90" s="1676"/>
      <c r="M90" s="1676"/>
      <c r="N90" s="1676"/>
      <c r="O90" s="1676"/>
      <c r="P90" s="1676"/>
      <c r="Q90" s="1676"/>
    </row>
    <row r="91" spans="3:21" hidden="1">
      <c r="C91" s="1679"/>
      <c r="D91" s="1664" t="s">
        <v>2804</v>
      </c>
      <c r="E91" s="1664"/>
      <c r="F91" s="1682"/>
      <c r="G91" s="1670"/>
      <c r="H91" s="1678">
        <v>0</v>
      </c>
      <c r="I91" s="1683">
        <f t="shared" ref="I91:Q91" si="35">I89-(I89-I90)*$H91</f>
        <v>8.0190000000000001</v>
      </c>
      <c r="J91" s="1683">
        <f t="shared" si="35"/>
        <v>9.7210000000000001</v>
      </c>
      <c r="K91" s="1683">
        <f t="shared" si="35"/>
        <v>10.979000000000001</v>
      </c>
      <c r="L91" s="1683">
        <f t="shared" si="35"/>
        <v>8.3709999999999987</v>
      </c>
      <c r="M91" s="1683">
        <f t="shared" si="35"/>
        <v>9.7349999999999994</v>
      </c>
      <c r="N91" s="1683">
        <f t="shared" si="35"/>
        <v>10.863</v>
      </c>
      <c r="O91" s="1683">
        <f t="shared" si="35"/>
        <v>8.3640000000000008</v>
      </c>
      <c r="P91" s="1683">
        <f t="shared" si="35"/>
        <v>9.68</v>
      </c>
      <c r="Q91" s="1683">
        <f t="shared" si="35"/>
        <v>10.783000000000001</v>
      </c>
    </row>
    <row r="92" spans="3:21">
      <c r="C92" s="1671"/>
      <c r="D92" s="1671"/>
      <c r="E92" s="1642"/>
      <c r="F92" s="1684"/>
      <c r="G92" s="1684"/>
      <c r="H92" s="1684"/>
      <c r="I92" s="1684"/>
      <c r="J92" s="1684"/>
      <c r="K92" s="1684"/>
      <c r="L92" s="1684"/>
      <c r="M92" s="1671"/>
      <c r="N92" s="1671"/>
      <c r="O92" s="1671"/>
      <c r="P92" s="1671"/>
      <c r="Q92" s="1671"/>
    </row>
    <row r="93" spans="3:21" ht="16">
      <c r="C93" s="1635" t="s">
        <v>3515</v>
      </c>
      <c r="D93" s="1636"/>
      <c r="E93" s="1637"/>
      <c r="F93" s="1637"/>
      <c r="G93" s="1637"/>
      <c r="H93" s="1637"/>
      <c r="I93" s="1637"/>
      <c r="J93" s="1637"/>
      <c r="K93" s="1637"/>
      <c r="L93" s="1637"/>
      <c r="M93" s="1637"/>
      <c r="N93" s="1637"/>
      <c r="O93" s="1637"/>
      <c r="P93" s="1637"/>
      <c r="Q93" s="1637"/>
    </row>
    <row r="94" spans="3:21">
      <c r="C94" s="1643" t="s">
        <v>1763</v>
      </c>
      <c r="D94" s="1636"/>
      <c r="E94" s="1637"/>
      <c r="F94" s="1637"/>
      <c r="G94" s="1637"/>
      <c r="H94" s="1637"/>
      <c r="I94" s="1637"/>
      <c r="J94" s="1637"/>
      <c r="K94" s="1637"/>
      <c r="L94" s="1637"/>
      <c r="M94" s="1637"/>
      <c r="N94" s="1637"/>
      <c r="O94" s="1637"/>
      <c r="P94" s="1637"/>
      <c r="Q94" s="1637"/>
    </row>
    <row r="95" spans="3:21" ht="15">
      <c r="D95" s="1637" t="s">
        <v>2805</v>
      </c>
      <c r="F95" s="2142" t="s">
        <v>1079</v>
      </c>
      <c r="G95" s="1637"/>
      <c r="H95" s="1637"/>
      <c r="I95" s="2130">
        <f>係数!D5*1000</f>
        <v>0.505</v>
      </c>
      <c r="J95" s="1685" t="str">
        <f>係数!C5</f>
        <v>東京電力(株)</v>
      </c>
      <c r="K95" s="1671"/>
      <c r="L95" s="1671"/>
      <c r="M95" s="1671" t="s">
        <v>1800</v>
      </c>
      <c r="N95" s="1671"/>
      <c r="O95" s="1671">
        <f>係数!J89*1000</f>
        <v>0.496</v>
      </c>
      <c r="P95" s="3035" t="s">
        <v>3511</v>
      </c>
      <c r="Q95" s="1686"/>
    </row>
    <row r="96" spans="3:21" ht="15">
      <c r="C96" s="1635"/>
      <c r="D96" s="1637"/>
      <c r="F96" s="2142" t="s">
        <v>180</v>
      </c>
      <c r="G96" s="1637"/>
      <c r="H96" s="1637"/>
      <c r="I96" s="2130">
        <f>I95/J96</f>
        <v>5.1741803278688527E-2</v>
      </c>
      <c r="J96" s="1689">
        <v>9.76</v>
      </c>
      <c r="K96" s="1687" t="s">
        <v>2304</v>
      </c>
      <c r="L96" s="1637"/>
      <c r="M96" s="1637"/>
      <c r="N96" s="1637"/>
      <c r="O96" s="1637"/>
      <c r="P96" s="1637"/>
      <c r="Q96" s="1688"/>
      <c r="U96">
        <f>O95/J96</f>
        <v>5.0819672131147541E-2</v>
      </c>
    </row>
    <row r="97" spans="2:19" ht="15">
      <c r="C97" s="1635"/>
      <c r="D97" s="1637" t="s">
        <v>1802</v>
      </c>
      <c r="F97" s="2142" t="s">
        <v>180</v>
      </c>
      <c r="G97" s="1637"/>
      <c r="H97" s="1637"/>
      <c r="I97" s="2130">
        <v>4.9799999999999997E-2</v>
      </c>
      <c r="J97" s="1689"/>
      <c r="K97" s="1637"/>
      <c r="L97" s="1637"/>
      <c r="M97" s="1637"/>
      <c r="N97" s="1637"/>
      <c r="O97" s="1637"/>
      <c r="P97" s="1637"/>
      <c r="Q97" s="1688"/>
    </row>
    <row r="98" spans="2:19" ht="15" hidden="1">
      <c r="C98" s="1635"/>
      <c r="D98" s="1637" t="s">
        <v>1803</v>
      </c>
      <c r="F98" s="2142" t="s">
        <v>180</v>
      </c>
      <c r="G98" s="1637"/>
      <c r="H98" s="1637"/>
      <c r="I98" s="2130">
        <v>5.7000000000000002E-2</v>
      </c>
      <c r="J98" s="1689"/>
      <c r="K98" s="1637"/>
      <c r="L98" s="1637"/>
      <c r="M98" s="1637"/>
      <c r="N98" s="1637"/>
      <c r="O98" s="1637"/>
      <c r="P98" s="1637"/>
      <c r="Q98" s="1688"/>
    </row>
    <row r="99" spans="2:19" ht="15">
      <c r="C99" s="1635"/>
      <c r="D99" s="1637" t="s">
        <v>1804</v>
      </c>
      <c r="F99" s="2142" t="s">
        <v>180</v>
      </c>
      <c r="G99" s="1637"/>
      <c r="H99" s="1637"/>
      <c r="I99" s="2130">
        <v>6.7799999999999999E-2</v>
      </c>
      <c r="J99" s="1689"/>
      <c r="K99" s="1637"/>
      <c r="L99" s="1637"/>
      <c r="M99" s="1637"/>
      <c r="N99" s="1637"/>
      <c r="O99" s="1637"/>
      <c r="P99" s="1637"/>
      <c r="Q99" s="1688"/>
    </row>
    <row r="100" spans="2:19" ht="15">
      <c r="C100" s="1635"/>
      <c r="D100" s="1637" t="s">
        <v>1805</v>
      </c>
      <c r="F100" s="2142" t="s">
        <v>180</v>
      </c>
      <c r="G100" s="1637"/>
      <c r="H100" s="1637"/>
      <c r="I100" s="2130">
        <v>6.93E-2</v>
      </c>
      <c r="J100" s="1689"/>
      <c r="K100" s="1637"/>
      <c r="L100" s="1637"/>
      <c r="M100" s="1637"/>
      <c r="N100" s="1637"/>
      <c r="O100" s="1637"/>
      <c r="P100" s="1637"/>
      <c r="Q100" s="1688"/>
    </row>
    <row r="101" spans="2:19" ht="15">
      <c r="C101" s="1635"/>
      <c r="D101" s="1637" t="s">
        <v>1806</v>
      </c>
      <c r="F101" s="2142" t="s">
        <v>180</v>
      </c>
      <c r="G101" s="1637"/>
      <c r="H101" s="1637"/>
      <c r="I101" s="2130">
        <f>(I99+I100)/2</f>
        <v>6.855E-2</v>
      </c>
      <c r="J101" s="2131" t="s">
        <v>1807</v>
      </c>
      <c r="K101" s="1637"/>
      <c r="L101" s="1637"/>
      <c r="M101" s="1637"/>
      <c r="N101" s="1637"/>
      <c r="O101" s="1637"/>
      <c r="P101" s="1637"/>
      <c r="Q101" s="1688"/>
    </row>
    <row r="102" spans="2:19" ht="15">
      <c r="C102" s="1635"/>
      <c r="D102" s="1637" t="s">
        <v>1630</v>
      </c>
      <c r="F102" s="2142" t="s">
        <v>180</v>
      </c>
      <c r="G102" s="1637"/>
      <c r="H102" s="1637"/>
      <c r="I102" s="2130">
        <v>5.8999999999999997E-2</v>
      </c>
      <c r="J102" s="1690"/>
      <c r="K102" s="1691"/>
      <c r="L102" s="1691"/>
      <c r="M102" s="1691"/>
      <c r="N102" s="1691"/>
      <c r="O102" s="1691"/>
      <c r="P102" s="1691"/>
      <c r="Q102" s="1692"/>
    </row>
    <row r="103" spans="2:19">
      <c r="B103" s="828"/>
      <c r="C103" s="1637" t="s">
        <v>3146</v>
      </c>
      <c r="D103" s="828"/>
      <c r="E103" s="1637"/>
      <c r="F103" s="1637"/>
      <c r="G103" s="1637"/>
      <c r="H103" s="1637"/>
      <c r="I103" s="1693"/>
      <c r="J103" s="1637"/>
      <c r="K103" s="1637"/>
      <c r="L103" s="1637"/>
      <c r="M103" s="1637"/>
      <c r="N103" s="1637"/>
      <c r="O103" s="1637"/>
      <c r="P103" s="1637"/>
      <c r="Q103" s="1637"/>
      <c r="R103" s="828"/>
      <c r="S103" s="828"/>
    </row>
    <row r="104" spans="2:19" ht="15">
      <c r="B104" s="828"/>
      <c r="C104" s="1636"/>
      <c r="D104" s="1637" t="s">
        <v>364</v>
      </c>
      <c r="E104" s="828"/>
      <c r="F104" s="1642" t="s">
        <v>3518</v>
      </c>
      <c r="G104" s="1637"/>
      <c r="H104" s="1637"/>
      <c r="I104" s="1637" t="s">
        <v>1350</v>
      </c>
      <c r="J104" s="1637"/>
      <c r="K104" s="1643" t="s">
        <v>1351</v>
      </c>
      <c r="L104" s="1637"/>
      <c r="M104" s="1637" t="s">
        <v>364</v>
      </c>
      <c r="N104" s="1637"/>
      <c r="O104" s="1637" t="s">
        <v>1350</v>
      </c>
      <c r="P104" s="1637"/>
      <c r="Q104" s="1643" t="s">
        <v>1351</v>
      </c>
      <c r="R104" s="828"/>
      <c r="S104" s="828"/>
    </row>
    <row r="105" spans="2:19">
      <c r="B105" s="828"/>
      <c r="C105" s="1636"/>
      <c r="D105" s="2465" t="s">
        <v>3069</v>
      </c>
      <c r="E105" s="2465"/>
      <c r="F105" s="2465"/>
      <c r="G105" s="1637"/>
      <c r="H105" s="1637"/>
      <c r="I105" s="3036">
        <v>6.8300000000000001E-4</v>
      </c>
      <c r="J105" s="1637"/>
      <c r="K105" s="3036">
        <v>6.8800000000000003E-4</v>
      </c>
      <c r="L105" s="1637"/>
      <c r="M105" s="1637" t="str">
        <f>D144</f>
        <v>(株)トヨタタービンアンドシステム</v>
      </c>
      <c r="N105" s="1637"/>
      <c r="O105" s="3036">
        <f>I144</f>
        <v>4.9200000000000003E-4</v>
      </c>
      <c r="P105" s="1637"/>
      <c r="Q105" s="3036">
        <f>K144</f>
        <v>4.7699999999999999E-4</v>
      </c>
      <c r="R105" s="828"/>
      <c r="S105" s="828"/>
    </row>
    <row r="106" spans="2:19">
      <c r="B106" s="828"/>
      <c r="C106" s="1636"/>
      <c r="D106" s="2465" t="s">
        <v>3070</v>
      </c>
      <c r="E106" s="2465"/>
      <c r="F106" s="2465"/>
      <c r="G106" s="1637"/>
      <c r="H106" s="1637"/>
      <c r="I106" s="3036">
        <v>5.71E-4</v>
      </c>
      <c r="J106" s="1637"/>
      <c r="K106" s="3036">
        <v>5.7300000000000005E-4</v>
      </c>
      <c r="L106" s="1637"/>
      <c r="M106" s="1637" t="str">
        <f t="shared" ref="M106:M143" si="36">D145</f>
        <v>(株)とんでん</v>
      </c>
      <c r="N106" s="1637"/>
      <c r="O106" s="3036">
        <f t="shared" ref="O106:O143" si="37">I145</f>
        <v>4.95E-4</v>
      </c>
      <c r="P106" s="1637"/>
      <c r="Q106" s="3036">
        <f t="shared" ref="Q106:Q143" si="38">K145</f>
        <v>4.7899999999999999E-4</v>
      </c>
      <c r="R106" s="828"/>
      <c r="S106" s="828"/>
    </row>
    <row r="107" spans="2:19">
      <c r="B107" s="828"/>
      <c r="C107" s="1636"/>
      <c r="D107" s="2465" t="s">
        <v>3071</v>
      </c>
      <c r="E107" s="2465"/>
      <c r="F107" s="2465"/>
      <c r="G107" s="1637"/>
      <c r="H107" s="1637"/>
      <c r="I107" s="3036">
        <v>5.0500000000000002E-4</v>
      </c>
      <c r="J107" s="1637"/>
      <c r="K107" s="3036">
        <v>4.9600000000000002E-4</v>
      </c>
      <c r="L107" s="1637"/>
      <c r="M107" s="1637" t="str">
        <f t="shared" si="36"/>
        <v>(株)ナンワエナジー</v>
      </c>
      <c r="N107" s="1637"/>
      <c r="O107" s="3036">
        <f t="shared" si="37"/>
        <v>6.02E-4</v>
      </c>
      <c r="P107" s="1637"/>
      <c r="Q107" s="3036">
        <f t="shared" si="38"/>
        <v>6.0099999999999997E-4</v>
      </c>
      <c r="R107" s="828"/>
      <c r="S107" s="828"/>
    </row>
    <row r="108" spans="2:19">
      <c r="B108" s="828"/>
      <c r="C108" s="1636"/>
      <c r="D108" s="2465" t="s">
        <v>3072</v>
      </c>
      <c r="E108" s="2465"/>
      <c r="F108" s="2465"/>
      <c r="G108" s="1637"/>
      <c r="H108" s="1637"/>
      <c r="I108" s="3036">
        <v>4.9700000000000005E-4</v>
      </c>
      <c r="J108" s="1637"/>
      <c r="K108" s="3036">
        <v>4.9399999999999997E-4</v>
      </c>
      <c r="L108" s="1637"/>
      <c r="M108" s="1637" t="str">
        <f t="shared" si="36"/>
        <v>(株)日本セレモニー</v>
      </c>
      <c r="N108" s="1637"/>
      <c r="O108" s="3036">
        <f t="shared" si="37"/>
        <v>6.0999999999999997E-4</v>
      </c>
      <c r="P108" s="1637"/>
      <c r="Q108" s="3036">
        <f t="shared" si="38"/>
        <v>6.96E-4</v>
      </c>
      <c r="R108" s="828"/>
      <c r="S108" s="828"/>
    </row>
    <row r="109" spans="2:19">
      <c r="B109" s="828"/>
      <c r="C109" s="1636"/>
      <c r="D109" s="2465" t="s">
        <v>3073</v>
      </c>
      <c r="E109" s="2465"/>
      <c r="F109" s="2465"/>
      <c r="G109" s="1637"/>
      <c r="H109" s="1637"/>
      <c r="I109" s="3036">
        <v>6.4700000000000001E-4</v>
      </c>
      <c r="J109" s="1637"/>
      <c r="K109" s="3036">
        <v>6.4000000000000005E-4</v>
      </c>
      <c r="L109" s="1637"/>
      <c r="M109" s="1637" t="str">
        <f t="shared" si="36"/>
        <v>(株)Ｖ－Ｐｏｗｅｒ</v>
      </c>
      <c r="N109" s="1637"/>
      <c r="O109" s="3036">
        <f t="shared" si="37"/>
        <v>2.5399999999999999E-4</v>
      </c>
      <c r="P109" s="1637"/>
      <c r="Q109" s="3036">
        <f t="shared" si="38"/>
        <v>5.6099999999999998E-4</v>
      </c>
      <c r="R109" s="828"/>
      <c r="S109" s="828"/>
    </row>
    <row r="110" spans="2:19">
      <c r="B110" s="828"/>
      <c r="C110" s="1636"/>
      <c r="D110" s="2465" t="s">
        <v>3074</v>
      </c>
      <c r="E110" s="2465"/>
      <c r="F110" s="2465"/>
      <c r="G110" s="1637"/>
      <c r="H110" s="1637"/>
      <c r="I110" s="3036">
        <v>5.31E-4</v>
      </c>
      <c r="J110" s="1637"/>
      <c r="K110" s="3036">
        <v>5.2300000000000003E-4</v>
      </c>
      <c r="L110" s="1637"/>
      <c r="M110" s="1637" t="str">
        <f t="shared" si="36"/>
        <v>(株)フォレストパワー</v>
      </c>
      <c r="N110" s="1637"/>
      <c r="O110" s="3036">
        <f t="shared" si="37"/>
        <v>1.9000000000000001E-4</v>
      </c>
      <c r="P110" s="1637"/>
      <c r="Q110" s="3036">
        <f t="shared" si="38"/>
        <v>6.9899999999999997E-4</v>
      </c>
      <c r="R110" s="828"/>
      <c r="S110" s="828"/>
    </row>
    <row r="111" spans="2:19">
      <c r="B111" s="828"/>
      <c r="C111" s="1636"/>
      <c r="D111" s="2465" t="s">
        <v>3075</v>
      </c>
      <c r="E111" s="2465"/>
      <c r="F111" s="2465"/>
      <c r="G111" s="1637"/>
      <c r="H111" s="1637"/>
      <c r="I111" s="3036">
        <v>7.0600000000000003E-4</v>
      </c>
      <c r="J111" s="1637"/>
      <c r="K111" s="3036">
        <v>7.0899999999999999E-4</v>
      </c>
      <c r="L111" s="1637"/>
      <c r="M111" s="1637" t="str">
        <f t="shared" si="36"/>
        <v>(株)ベイサイドエナジー</v>
      </c>
      <c r="N111" s="1637"/>
      <c r="O111" s="3036">
        <f t="shared" si="37"/>
        <v>5.8100000000000003E-4</v>
      </c>
      <c r="P111" s="1637"/>
      <c r="Q111" s="3036">
        <f t="shared" si="38"/>
        <v>5.62E-4</v>
      </c>
      <c r="R111" s="828"/>
      <c r="S111" s="828"/>
    </row>
    <row r="112" spans="2:19">
      <c r="B112" s="828"/>
      <c r="C112" s="1636"/>
      <c r="D112" s="2465" t="s">
        <v>3076</v>
      </c>
      <c r="E112" s="2465"/>
      <c r="F112" s="2465"/>
      <c r="G112" s="1637"/>
      <c r="H112" s="1637"/>
      <c r="I112" s="3036">
        <v>6.7599999999999995E-4</v>
      </c>
      <c r="J112" s="1637"/>
      <c r="K112" s="3036">
        <v>6.8800000000000003E-4</v>
      </c>
      <c r="L112" s="1637"/>
      <c r="M112" s="1637" t="str">
        <f t="shared" si="36"/>
        <v>京葉瓦斯(株)</v>
      </c>
      <c r="N112" s="1637"/>
      <c r="O112" s="3036">
        <f t="shared" si="37"/>
        <v>4.9399999999999997E-4</v>
      </c>
      <c r="P112" s="1637"/>
      <c r="Q112" s="3036">
        <f t="shared" si="38"/>
        <v>4.7800000000000002E-4</v>
      </c>
      <c r="R112" s="828"/>
      <c r="S112" s="828"/>
    </row>
    <row r="113" spans="2:19">
      <c r="B113" s="828"/>
      <c r="C113" s="1636"/>
      <c r="D113" s="2465" t="s">
        <v>3077</v>
      </c>
      <c r="E113" s="2465"/>
      <c r="F113" s="2465"/>
      <c r="G113" s="1637"/>
      <c r="H113" s="1637"/>
      <c r="I113" s="3036">
        <v>5.8399999999999999E-4</v>
      </c>
      <c r="J113" s="1637"/>
      <c r="K113" s="3036">
        <v>5.9800000000000001E-4</v>
      </c>
      <c r="L113" s="1637"/>
      <c r="M113" s="1637" t="str">
        <f t="shared" si="36"/>
        <v>サミットエナジー(株)</v>
      </c>
      <c r="N113" s="1637"/>
      <c r="O113" s="3036">
        <f t="shared" si="37"/>
        <v>4.1300000000000001E-4</v>
      </c>
      <c r="P113" s="1637"/>
      <c r="Q113" s="3036">
        <f t="shared" si="38"/>
        <v>5.0299999999999997E-4</v>
      </c>
      <c r="R113" s="828"/>
      <c r="S113" s="828"/>
    </row>
    <row r="114" spans="2:19">
      <c r="B114" s="828"/>
      <c r="C114" s="1636"/>
      <c r="D114" s="2465" t="s">
        <v>3078</v>
      </c>
      <c r="E114" s="2465"/>
      <c r="F114" s="2465"/>
      <c r="G114" s="1637"/>
      <c r="H114" s="1637"/>
      <c r="I114" s="3036">
        <v>8.1599999999999999E-4</v>
      </c>
      <c r="J114" s="1637"/>
      <c r="K114" s="3036">
        <v>8.1599999999999999E-4</v>
      </c>
      <c r="L114" s="1637"/>
      <c r="M114" s="1637" t="str">
        <f t="shared" si="36"/>
        <v>ＪＸ日鉱日石エネルギー(株)</v>
      </c>
      <c r="N114" s="1637"/>
      <c r="O114" s="3036">
        <f t="shared" si="37"/>
        <v>3.2499999999999999E-4</v>
      </c>
      <c r="P114" s="1637"/>
      <c r="Q114" s="3036">
        <f t="shared" si="38"/>
        <v>3.0600000000000001E-4</v>
      </c>
      <c r="R114" s="828"/>
      <c r="S114" s="828"/>
    </row>
    <row r="115" spans="2:19">
      <c r="B115" s="828"/>
      <c r="C115" s="1636"/>
      <c r="D115" s="2465" t="s">
        <v>3079</v>
      </c>
      <c r="E115" s="2465"/>
      <c r="F115" s="2465"/>
      <c r="G115" s="1637"/>
      <c r="H115" s="1637"/>
      <c r="I115" s="3036">
        <v>4.0999999999999999E-4</v>
      </c>
      <c r="J115" s="1637"/>
      <c r="K115" s="3036">
        <v>3.3700000000000001E-4</v>
      </c>
      <c r="L115" s="1637"/>
      <c r="M115" s="1637" t="str">
        <f t="shared" si="36"/>
        <v>ＪＬエナジー(株)</v>
      </c>
      <c r="N115" s="1637"/>
      <c r="O115" s="3036">
        <f t="shared" si="37"/>
        <v>5.53E-4</v>
      </c>
      <c r="P115" s="1637"/>
      <c r="Q115" s="3036">
        <f t="shared" si="38"/>
        <v>5.3399999999999997E-4</v>
      </c>
      <c r="R115" s="828"/>
      <c r="S115" s="828"/>
    </row>
    <row r="116" spans="2:19">
      <c r="B116" s="828"/>
      <c r="C116" s="1636"/>
      <c r="D116" s="2465" t="s">
        <v>3080</v>
      </c>
      <c r="E116" s="2465"/>
      <c r="F116" s="2465"/>
      <c r="G116" s="1637"/>
      <c r="H116" s="1637"/>
      <c r="I116" s="3036">
        <v>1.9000000000000001E-4</v>
      </c>
      <c r="J116" s="1637"/>
      <c r="K116" s="3036">
        <v>1.83E-4</v>
      </c>
      <c r="L116" s="1637"/>
      <c r="M116" s="1637" t="str">
        <f t="shared" si="36"/>
        <v>志賀高原リゾート開発(株)</v>
      </c>
      <c r="N116" s="1637"/>
      <c r="O116" s="3036">
        <f t="shared" si="37"/>
        <v>3.6000000000000001E-5</v>
      </c>
      <c r="P116" s="1637"/>
      <c r="Q116" s="3036">
        <f t="shared" si="38"/>
        <v>5.7600000000000001E-4</v>
      </c>
      <c r="R116" s="828"/>
      <c r="S116" s="828"/>
    </row>
    <row r="117" spans="2:19">
      <c r="B117" s="828"/>
      <c r="C117" s="1636"/>
      <c r="D117" s="2465" t="s">
        <v>3081</v>
      </c>
      <c r="E117" s="2465"/>
      <c r="F117" s="2465"/>
      <c r="G117" s="1637"/>
      <c r="H117" s="1637"/>
      <c r="I117" s="3036">
        <v>6.6200000000000005E-4</v>
      </c>
      <c r="J117" s="1637"/>
      <c r="K117" s="3036">
        <v>4.6900000000000002E-4</v>
      </c>
      <c r="L117" s="1637"/>
      <c r="M117" s="1637" t="str">
        <f t="shared" si="36"/>
        <v>シナネン(株)</v>
      </c>
      <c r="N117" s="1637"/>
      <c r="O117" s="3036">
        <f t="shared" si="37"/>
        <v>4.1599999999999997E-4</v>
      </c>
      <c r="P117" s="1637"/>
      <c r="Q117" s="3036">
        <f t="shared" si="38"/>
        <v>5.6300000000000002E-4</v>
      </c>
      <c r="R117" s="828"/>
      <c r="S117" s="828"/>
    </row>
    <row r="118" spans="2:19">
      <c r="B118" s="828"/>
      <c r="C118" s="1636"/>
      <c r="D118" s="2465" t="s">
        <v>3082</v>
      </c>
      <c r="E118" s="2465"/>
      <c r="F118" s="2465"/>
      <c r="G118" s="1637"/>
      <c r="H118" s="1637"/>
      <c r="I118" s="3036">
        <v>3.1599999999999998E-4</v>
      </c>
      <c r="J118" s="1637"/>
      <c r="K118" s="3036">
        <v>5.5000000000000003E-4</v>
      </c>
      <c r="L118" s="1637"/>
      <c r="M118" s="1637" t="str">
        <f t="shared" si="36"/>
        <v>昭和シェル石油(株)</v>
      </c>
      <c r="N118" s="1637"/>
      <c r="O118" s="3036">
        <f t="shared" si="37"/>
        <v>3.7199999999999999E-4</v>
      </c>
      <c r="P118" s="1637"/>
      <c r="Q118" s="3036">
        <f t="shared" si="38"/>
        <v>3.5300000000000002E-4</v>
      </c>
      <c r="R118" s="828"/>
      <c r="S118" s="828"/>
    </row>
    <row r="119" spans="2:19">
      <c r="B119" s="828"/>
      <c r="C119" s="1637"/>
      <c r="D119" s="2465" t="s">
        <v>3083</v>
      </c>
      <c r="E119" s="2465"/>
      <c r="F119" s="2465"/>
      <c r="G119" s="1637"/>
      <c r="H119" s="1637"/>
      <c r="I119" s="3036">
        <v>3.1599999999999998E-4</v>
      </c>
      <c r="J119" s="1637"/>
      <c r="K119" s="3036">
        <v>5.6099999999999998E-4</v>
      </c>
      <c r="L119" s="1637"/>
      <c r="M119" s="1637" t="str">
        <f t="shared" si="36"/>
        <v>新日鉄住金エンジニアリング(株)</v>
      </c>
      <c r="N119" s="1637"/>
      <c r="O119" s="3036">
        <f t="shared" si="37"/>
        <v>5.5999999999999995E-4</v>
      </c>
      <c r="P119" s="1637"/>
      <c r="Q119" s="3036">
        <f t="shared" si="38"/>
        <v>5.6999999999999998E-4</v>
      </c>
      <c r="R119" s="828"/>
      <c r="S119" s="828"/>
    </row>
    <row r="120" spans="2:19">
      <c r="B120" s="828"/>
      <c r="C120" s="1636"/>
      <c r="D120" s="2465" t="s">
        <v>3084</v>
      </c>
      <c r="E120" s="2465"/>
      <c r="F120" s="2465"/>
      <c r="G120" s="1637"/>
      <c r="H120" s="1637"/>
      <c r="I120" s="3036">
        <v>2.5300000000000002E-4</v>
      </c>
      <c r="J120" s="1637"/>
      <c r="K120" s="3036">
        <v>7.3899999999999997E-4</v>
      </c>
      <c r="L120" s="1637"/>
      <c r="M120" s="1637" t="str">
        <f t="shared" si="36"/>
        <v>鈴与商事(株)</v>
      </c>
      <c r="N120" s="1637"/>
      <c r="O120" s="3036">
        <f t="shared" si="37"/>
        <v>4.8799999999999999E-4</v>
      </c>
      <c r="P120" s="1637"/>
      <c r="Q120" s="3036">
        <f t="shared" si="38"/>
        <v>3.48E-4</v>
      </c>
      <c r="R120" s="828"/>
      <c r="S120" s="828"/>
    </row>
    <row r="121" spans="2:19">
      <c r="B121" s="828"/>
      <c r="C121" s="1636"/>
      <c r="D121" s="2465" t="s">
        <v>3085</v>
      </c>
      <c r="E121" s="2465"/>
      <c r="F121" s="2465"/>
      <c r="G121" s="1637"/>
      <c r="H121" s="1637"/>
      <c r="I121" s="3036">
        <v>5.6800000000000004E-4</v>
      </c>
      <c r="J121" s="1637"/>
      <c r="K121" s="3036">
        <v>2.9399999999999999E-4</v>
      </c>
      <c r="L121" s="1637"/>
      <c r="M121" s="1637" t="str">
        <f t="shared" si="36"/>
        <v>泉北天然ガス発電(株)</v>
      </c>
      <c r="N121" s="1637"/>
      <c r="O121" s="3036">
        <f t="shared" si="37"/>
        <v>3.2899999999999997E-4</v>
      </c>
      <c r="P121" s="1637"/>
      <c r="Q121" s="3036">
        <f t="shared" si="38"/>
        <v>3.1E-4</v>
      </c>
      <c r="R121" s="828"/>
      <c r="S121" s="828"/>
    </row>
    <row r="122" spans="2:19">
      <c r="B122" s="828"/>
      <c r="C122" s="1636"/>
      <c r="D122" s="2465" t="s">
        <v>3086</v>
      </c>
      <c r="E122" s="2465"/>
      <c r="F122" s="2465"/>
      <c r="G122" s="1637"/>
      <c r="H122" s="1637"/>
      <c r="I122" s="3036">
        <v>2.5900000000000001E-4</v>
      </c>
      <c r="J122" s="1637"/>
      <c r="K122" s="3036">
        <v>3.4200000000000002E-4</v>
      </c>
      <c r="L122" s="1637"/>
      <c r="M122" s="1637" t="str">
        <f t="shared" si="36"/>
        <v>総合エネルギー(株)</v>
      </c>
      <c r="N122" s="1637"/>
      <c r="O122" s="3036">
        <f t="shared" si="37"/>
        <v>6.3599999999999996E-4</v>
      </c>
      <c r="P122" s="1637"/>
      <c r="Q122" s="3036">
        <f t="shared" si="38"/>
        <v>6.1499999999999999E-4</v>
      </c>
      <c r="R122" s="828"/>
      <c r="S122" s="828"/>
    </row>
    <row r="123" spans="2:19">
      <c r="B123" s="828"/>
      <c r="C123" s="1636"/>
      <c r="D123" s="2465" t="s">
        <v>3087</v>
      </c>
      <c r="E123" s="2465"/>
      <c r="F123" s="2465"/>
      <c r="G123" s="1637"/>
      <c r="H123" s="1637"/>
      <c r="I123" s="3036">
        <v>6.3400000000000001E-4</v>
      </c>
      <c r="J123" s="1637"/>
      <c r="K123" s="3036">
        <v>2.0599999999999999E-4</v>
      </c>
      <c r="L123" s="1637"/>
      <c r="M123" s="1637" t="str">
        <f t="shared" si="36"/>
        <v>大東エナジー(株)</v>
      </c>
      <c r="N123" s="1637"/>
      <c r="O123" s="3036">
        <f t="shared" si="37"/>
        <v>5.6599999999999999E-4</v>
      </c>
      <c r="P123" s="1637"/>
      <c r="Q123" s="3036">
        <f t="shared" si="38"/>
        <v>5.4699999999999996E-4</v>
      </c>
      <c r="R123" s="828"/>
      <c r="S123" s="828"/>
    </row>
    <row r="124" spans="2:19">
      <c r="B124" s="828"/>
      <c r="C124" s="1636"/>
      <c r="D124" s="2465" t="s">
        <v>3088</v>
      </c>
      <c r="E124" s="2465"/>
      <c r="F124" s="2465"/>
      <c r="G124" s="1637"/>
      <c r="H124" s="1637"/>
      <c r="I124" s="3036">
        <v>2.6600000000000001E-4</v>
      </c>
      <c r="J124" s="1637"/>
      <c r="K124" s="3036">
        <v>6.2399999999999999E-4</v>
      </c>
      <c r="L124" s="1637"/>
      <c r="M124" s="1637" t="str">
        <f t="shared" si="36"/>
        <v>ダイヤモンドパワー(株)</v>
      </c>
      <c r="N124" s="1637"/>
      <c r="O124" s="3036">
        <f t="shared" si="37"/>
        <v>3.39E-4</v>
      </c>
      <c r="P124" s="1637"/>
      <c r="Q124" s="3036">
        <f t="shared" si="38"/>
        <v>3.2299999999999999E-4</v>
      </c>
      <c r="R124" s="828"/>
      <c r="S124" s="828"/>
    </row>
    <row r="125" spans="2:19">
      <c r="B125" s="828"/>
      <c r="C125" s="1636"/>
      <c r="D125" s="2465" t="s">
        <v>3089</v>
      </c>
      <c r="E125" s="2465"/>
      <c r="F125" s="2465"/>
      <c r="G125" s="1637"/>
      <c r="H125" s="1637"/>
      <c r="I125" s="3036">
        <v>4.3800000000000002E-4</v>
      </c>
      <c r="J125" s="1637"/>
      <c r="K125" s="3036">
        <v>4.1899999999999999E-4</v>
      </c>
      <c r="L125" s="1637"/>
      <c r="M125" s="1637" t="str">
        <f t="shared" si="36"/>
        <v>大和ハウス工業(株)</v>
      </c>
      <c r="N125" s="1637"/>
      <c r="O125" s="3036">
        <f t="shared" si="37"/>
        <v>5.1900000000000004E-4</v>
      </c>
      <c r="P125" s="1637"/>
      <c r="Q125" s="3036">
        <f t="shared" si="38"/>
        <v>5.0100000000000003E-4</v>
      </c>
      <c r="R125" s="828"/>
      <c r="S125" s="828"/>
    </row>
    <row r="126" spans="2:19">
      <c r="B126" s="828"/>
      <c r="C126" s="1636"/>
      <c r="D126" s="2465" t="s">
        <v>3090</v>
      </c>
      <c r="E126" s="2465"/>
      <c r="F126" s="2465"/>
      <c r="G126" s="1637"/>
      <c r="H126" s="1637"/>
      <c r="I126" s="3036">
        <v>4.9799999999999996E-4</v>
      </c>
      <c r="J126" s="1637"/>
      <c r="K126" s="3036">
        <v>3.9300000000000001E-4</v>
      </c>
      <c r="L126" s="1637"/>
      <c r="M126" s="1637" t="str">
        <f t="shared" si="36"/>
        <v>中央電力エナジー(株)</v>
      </c>
      <c r="N126" s="1637"/>
      <c r="O126" s="3036">
        <f t="shared" si="37"/>
        <v>5.5999999999999995E-4</v>
      </c>
      <c r="P126" s="1637"/>
      <c r="Q126" s="3036">
        <f t="shared" si="38"/>
        <v>5.4100000000000003E-4</v>
      </c>
      <c r="R126" s="828"/>
      <c r="S126" s="828"/>
    </row>
    <row r="127" spans="2:19" s="2417" customFormat="1">
      <c r="B127" s="828"/>
      <c r="C127" s="1636"/>
      <c r="D127" s="2465" t="s">
        <v>3091</v>
      </c>
      <c r="E127" s="2465"/>
      <c r="F127" s="2465"/>
      <c r="G127" s="1637"/>
      <c r="H127" s="1637"/>
      <c r="I127" s="3036">
        <v>5.1099999999999995E-4</v>
      </c>
      <c r="J127" s="1637"/>
      <c r="K127" s="3036">
        <v>4.9399999999999997E-4</v>
      </c>
      <c r="L127" s="1637"/>
      <c r="M127" s="1637" t="str">
        <f t="shared" si="36"/>
        <v>テス・エンジニアリング(株)</v>
      </c>
      <c r="N127" s="1637"/>
      <c r="O127" s="3036">
        <f t="shared" si="37"/>
        <v>5.9900000000000003E-4</v>
      </c>
      <c r="P127" s="1637"/>
      <c r="Q127" s="3036">
        <f t="shared" si="38"/>
        <v>9.2500000000000004E-4</v>
      </c>
      <c r="R127" s="828"/>
      <c r="S127" s="828"/>
    </row>
    <row r="128" spans="2:19" s="2417" customFormat="1">
      <c r="B128" s="828"/>
      <c r="C128" s="1636"/>
      <c r="D128" s="2465" t="s">
        <v>3092</v>
      </c>
      <c r="E128" s="2465"/>
      <c r="F128" s="2465"/>
      <c r="G128" s="1637"/>
      <c r="H128" s="1637"/>
      <c r="I128" s="3036">
        <v>4.3999999999999999E-5</v>
      </c>
      <c r="J128" s="1637"/>
      <c r="K128" s="3036">
        <v>4.1999999999999998E-5</v>
      </c>
      <c r="L128" s="1637"/>
      <c r="M128" s="1637" t="str">
        <f t="shared" si="36"/>
        <v>テプコカスタマーサービス(株)</v>
      </c>
      <c r="N128" s="1637"/>
      <c r="O128" s="3036">
        <f t="shared" si="37"/>
        <v>4.8700000000000002E-4</v>
      </c>
      <c r="P128" s="1637"/>
      <c r="Q128" s="3036">
        <f t="shared" si="38"/>
        <v>3.2699999999999998E-4</v>
      </c>
      <c r="R128" s="828"/>
      <c r="S128" s="828"/>
    </row>
    <row r="129" spans="2:19" s="2417" customFormat="1">
      <c r="B129" s="828"/>
      <c r="C129" s="1636"/>
      <c r="D129" s="2465" t="s">
        <v>3093</v>
      </c>
      <c r="E129" s="2465"/>
      <c r="F129" s="2465"/>
      <c r="G129" s="1637"/>
      <c r="H129" s="1637"/>
      <c r="I129" s="3036">
        <v>1.06E-4</v>
      </c>
      <c r="J129" s="1637"/>
      <c r="K129" s="3036">
        <v>7.4399999999999998E-4</v>
      </c>
      <c r="L129" s="1637"/>
      <c r="M129" s="1637" t="str">
        <f t="shared" si="36"/>
        <v>東京エコサービス(株)</v>
      </c>
      <c r="N129" s="1637"/>
      <c r="O129" s="3036">
        <f t="shared" si="37"/>
        <v>7.1000000000000005E-5</v>
      </c>
      <c r="P129" s="1637"/>
      <c r="Q129" s="3036">
        <f t="shared" si="38"/>
        <v>1.4899999999999999E-4</v>
      </c>
      <c r="R129" s="828"/>
      <c r="S129" s="828"/>
    </row>
    <row r="130" spans="2:19" s="2417" customFormat="1">
      <c r="B130" s="828"/>
      <c r="C130" s="1636"/>
      <c r="D130" s="2465" t="s">
        <v>3094</v>
      </c>
      <c r="E130" s="2465"/>
      <c r="F130" s="2465"/>
      <c r="G130" s="1637"/>
      <c r="H130" s="1637"/>
      <c r="I130" s="3036">
        <v>4.6200000000000001E-4</v>
      </c>
      <c r="J130" s="1637"/>
      <c r="K130" s="3036">
        <v>4.4700000000000002E-4</v>
      </c>
      <c r="L130" s="1637"/>
      <c r="M130" s="1637" t="str">
        <f t="shared" si="36"/>
        <v>にちほクラウド電力(株)</v>
      </c>
      <c r="N130" s="1637"/>
      <c r="O130" s="3036">
        <f t="shared" si="37"/>
        <v>5.3899999999999998E-4</v>
      </c>
      <c r="P130" s="1637"/>
      <c r="Q130" s="3036">
        <f t="shared" si="38"/>
        <v>5.2099999999999998E-4</v>
      </c>
      <c r="R130" s="828"/>
      <c r="S130" s="828"/>
    </row>
    <row r="131" spans="2:19" s="2417" customFormat="1">
      <c r="B131" s="828"/>
      <c r="C131" s="1636"/>
      <c r="D131" s="2465" t="s">
        <v>3095</v>
      </c>
      <c r="E131" s="2465"/>
      <c r="F131" s="2465"/>
      <c r="G131" s="1637"/>
      <c r="H131" s="1637"/>
      <c r="I131" s="3036">
        <v>4.15E-4</v>
      </c>
      <c r="J131" s="1637"/>
      <c r="K131" s="3036">
        <v>5.53E-4</v>
      </c>
      <c r="L131" s="1637"/>
      <c r="M131" s="1637" t="str">
        <f t="shared" si="36"/>
        <v>日産トレーデイング(株)</v>
      </c>
      <c r="N131" s="1637"/>
      <c r="O131" s="3036">
        <f t="shared" si="37"/>
        <v>3.6499999999999998E-4</v>
      </c>
      <c r="P131" s="1637"/>
      <c r="Q131" s="3036">
        <f t="shared" si="38"/>
        <v>4.0999999999999999E-4</v>
      </c>
      <c r="R131" s="828"/>
      <c r="S131" s="828"/>
    </row>
    <row r="132" spans="2:19" s="2417" customFormat="1">
      <c r="B132" s="828"/>
      <c r="C132" s="1636"/>
      <c r="D132" s="2465" t="s">
        <v>3096</v>
      </c>
      <c r="E132" s="2465"/>
      <c r="F132" s="2465"/>
      <c r="G132" s="1637"/>
      <c r="H132" s="1637"/>
      <c r="I132" s="3036">
        <v>4.5399999999999998E-4</v>
      </c>
      <c r="J132" s="1637"/>
      <c r="K132" s="3036">
        <v>4.6200000000000001E-4</v>
      </c>
      <c r="L132" s="1637"/>
      <c r="M132" s="1637" t="str">
        <f t="shared" si="36"/>
        <v>日本アルファ電力(株)</v>
      </c>
      <c r="N132" s="1637"/>
      <c r="O132" s="3036">
        <f t="shared" si="37"/>
        <v>0</v>
      </c>
      <c r="P132" s="1637"/>
      <c r="Q132" s="3036">
        <f t="shared" si="38"/>
        <v>1.4790000000000001E-3</v>
      </c>
      <c r="R132" s="828"/>
      <c r="S132" s="828"/>
    </row>
    <row r="133" spans="2:19" s="2417" customFormat="1">
      <c r="B133" s="828"/>
      <c r="C133" s="1636"/>
      <c r="D133" s="2465" t="s">
        <v>3097</v>
      </c>
      <c r="E133" s="2465"/>
      <c r="F133" s="2465"/>
      <c r="G133" s="1637"/>
      <c r="H133" s="1637"/>
      <c r="I133" s="3036">
        <v>4.5399999999999998E-4</v>
      </c>
      <c r="J133" s="1637"/>
      <c r="K133" s="3036">
        <v>3.9800000000000002E-4</v>
      </c>
      <c r="L133" s="1637"/>
      <c r="M133" s="1637" t="str">
        <f t="shared" si="36"/>
        <v>日本テクノ(株)</v>
      </c>
      <c r="N133" s="1637"/>
      <c r="O133" s="3036">
        <f t="shared" si="37"/>
        <v>5.3200000000000003E-4</v>
      </c>
      <c r="P133" s="1637"/>
      <c r="Q133" s="3036">
        <f t="shared" si="38"/>
        <v>5.8799999999999998E-4</v>
      </c>
      <c r="R133" s="828"/>
      <c r="S133" s="828"/>
    </row>
    <row r="134" spans="2:19" s="2417" customFormat="1">
      <c r="B134" s="828"/>
      <c r="C134" s="1636"/>
      <c r="D134" s="2465" t="s">
        <v>3098</v>
      </c>
      <c r="E134" s="2465"/>
      <c r="F134" s="2465"/>
      <c r="G134" s="1637"/>
      <c r="H134" s="1637"/>
      <c r="I134" s="3036">
        <v>5.4100000000000003E-4</v>
      </c>
      <c r="J134" s="1637"/>
      <c r="K134" s="3036">
        <v>5.2800000000000004E-4</v>
      </c>
      <c r="L134" s="1637"/>
      <c r="M134" s="1637" t="str">
        <f t="shared" si="36"/>
        <v>日本ロジテック協同組合</v>
      </c>
      <c r="N134" s="1637"/>
      <c r="O134" s="3036">
        <f t="shared" si="37"/>
        <v>3.86E-4</v>
      </c>
      <c r="P134" s="1637"/>
      <c r="Q134" s="3036">
        <f t="shared" si="38"/>
        <v>5.5199999999999997E-4</v>
      </c>
      <c r="R134" s="828"/>
      <c r="S134" s="828"/>
    </row>
    <row r="135" spans="2:19" s="2417" customFormat="1">
      <c r="B135" s="828"/>
      <c r="C135" s="1636"/>
      <c r="D135" s="2465" t="s">
        <v>3099</v>
      </c>
      <c r="E135" s="2465"/>
      <c r="F135" s="2465"/>
      <c r="G135" s="1637"/>
      <c r="H135" s="1637"/>
      <c r="I135" s="3036">
        <v>4.9200000000000003E-4</v>
      </c>
      <c r="J135" s="1637"/>
      <c r="K135" s="3036">
        <v>4.75E-4</v>
      </c>
      <c r="L135" s="1637"/>
      <c r="M135" s="1637" t="str">
        <f t="shared" si="36"/>
        <v>パナソニック(株)</v>
      </c>
      <c r="N135" s="1637"/>
      <c r="O135" s="3036">
        <f t="shared" si="37"/>
        <v>6.2200000000000005E-4</v>
      </c>
      <c r="P135" s="1637"/>
      <c r="Q135" s="3036">
        <f t="shared" si="38"/>
        <v>6.11E-4</v>
      </c>
      <c r="R135" s="828"/>
      <c r="S135" s="828"/>
    </row>
    <row r="136" spans="2:19" s="2417" customFormat="1">
      <c r="B136" s="828"/>
      <c r="C136" s="1636"/>
      <c r="D136" s="2465" t="s">
        <v>3100</v>
      </c>
      <c r="E136" s="2465"/>
      <c r="F136" s="2465"/>
      <c r="G136" s="1637"/>
      <c r="H136" s="1637"/>
      <c r="I136" s="3036">
        <v>4.7199999999999998E-4</v>
      </c>
      <c r="J136" s="1637"/>
      <c r="K136" s="3036">
        <v>5.6800000000000004E-4</v>
      </c>
      <c r="L136" s="1637"/>
      <c r="M136" s="1637" t="str">
        <f t="shared" si="36"/>
        <v>プレミアムグリーンパワー(株)</v>
      </c>
      <c r="N136" s="1637"/>
      <c r="O136" s="3036">
        <f t="shared" si="37"/>
        <v>1.1E-5</v>
      </c>
      <c r="P136" s="1637"/>
      <c r="Q136" s="3036">
        <f t="shared" si="38"/>
        <v>2.6499999999999999E-4</v>
      </c>
      <c r="R136" s="828"/>
      <c r="S136" s="828"/>
    </row>
    <row r="137" spans="2:19" s="2417" customFormat="1">
      <c r="B137" s="828"/>
      <c r="C137" s="1636"/>
      <c r="D137" s="2465" t="s">
        <v>3101</v>
      </c>
      <c r="E137" s="2465"/>
      <c r="F137" s="2465"/>
      <c r="G137" s="1637"/>
      <c r="H137" s="1637"/>
      <c r="I137" s="3036">
        <v>1.5300000000000001E-4</v>
      </c>
      <c r="J137" s="1637"/>
      <c r="K137" s="3036">
        <v>5.9800000000000001E-4</v>
      </c>
      <c r="L137" s="1637"/>
      <c r="M137" s="1637" t="str">
        <f t="shared" si="36"/>
        <v>本田技研工業(株)</v>
      </c>
      <c r="N137" s="1637"/>
      <c r="O137" s="3036">
        <f t="shared" si="37"/>
        <v>5.8E-4</v>
      </c>
      <c r="P137" s="1637"/>
      <c r="Q137" s="3036">
        <f t="shared" si="38"/>
        <v>5.5999999999999995E-4</v>
      </c>
      <c r="R137" s="828"/>
      <c r="S137" s="828"/>
    </row>
    <row r="138" spans="2:19" s="2417" customFormat="1">
      <c r="B138" s="828"/>
      <c r="C138" s="1636"/>
      <c r="D138" s="2465" t="s">
        <v>3102</v>
      </c>
      <c r="E138" s="2465"/>
      <c r="F138" s="2465"/>
      <c r="G138" s="1637"/>
      <c r="H138" s="1637"/>
      <c r="I138" s="3036">
        <v>3.48E-4</v>
      </c>
      <c r="J138" s="1637"/>
      <c r="K138" s="3036">
        <v>4.6799999999999999E-4</v>
      </c>
      <c r="L138" s="1637"/>
      <c r="M138" s="1637" t="str">
        <f t="shared" si="36"/>
        <v>丸紅(株)</v>
      </c>
      <c r="N138" s="1637"/>
      <c r="O138" s="3036">
        <f t="shared" si="37"/>
        <v>4.8200000000000001E-4</v>
      </c>
      <c r="P138" s="1637"/>
      <c r="Q138" s="3036">
        <f t="shared" si="38"/>
        <v>4.8700000000000002E-4</v>
      </c>
      <c r="R138" s="828"/>
      <c r="S138" s="828"/>
    </row>
    <row r="139" spans="2:19" s="2417" customFormat="1">
      <c r="B139" s="828"/>
      <c r="C139" s="1636"/>
      <c r="D139" s="2465" t="s">
        <v>3103</v>
      </c>
      <c r="E139" s="2465"/>
      <c r="F139" s="2465"/>
      <c r="G139" s="1637"/>
      <c r="H139" s="1637"/>
      <c r="I139" s="3036">
        <v>3.7300000000000001E-4</v>
      </c>
      <c r="J139" s="1637"/>
      <c r="K139" s="3036">
        <v>3.6000000000000002E-4</v>
      </c>
      <c r="L139" s="1637"/>
      <c r="M139" s="1637" t="str">
        <f t="shared" si="36"/>
        <v>ミサワホーム(株)</v>
      </c>
      <c r="N139" s="1637"/>
      <c r="O139" s="3036">
        <f t="shared" si="37"/>
        <v>3.1100000000000002E-4</v>
      </c>
      <c r="P139" s="1637"/>
      <c r="Q139" s="3036">
        <f t="shared" si="38"/>
        <v>3.01E-4</v>
      </c>
      <c r="R139" s="828"/>
      <c r="S139" s="828"/>
    </row>
    <row r="140" spans="2:19" s="2417" customFormat="1">
      <c r="B140" s="828"/>
      <c r="C140" s="1636"/>
      <c r="D140" s="2465" t="s">
        <v>3104</v>
      </c>
      <c r="E140" s="2465"/>
      <c r="F140" s="2465"/>
      <c r="G140" s="1637"/>
      <c r="H140" s="1637"/>
      <c r="I140" s="3036">
        <v>9.0000000000000002E-6</v>
      </c>
      <c r="J140" s="1637"/>
      <c r="K140" s="3036">
        <v>9.0000000000000002E-6</v>
      </c>
      <c r="L140" s="1637"/>
      <c r="M140" s="1637" t="str">
        <f t="shared" si="36"/>
        <v>三井物産(株)</v>
      </c>
      <c r="N140" s="1637"/>
      <c r="O140" s="3036">
        <f t="shared" si="37"/>
        <v>0</v>
      </c>
      <c r="P140" s="1637"/>
      <c r="Q140" s="3036">
        <f t="shared" si="38"/>
        <v>0</v>
      </c>
      <c r="R140" s="828"/>
      <c r="S140" s="828"/>
    </row>
    <row r="141" spans="2:19" s="2417" customFormat="1">
      <c r="B141" s="828"/>
      <c r="C141" s="1636"/>
      <c r="D141" s="2465" t="s">
        <v>3105</v>
      </c>
      <c r="E141" s="2465"/>
      <c r="F141" s="2465"/>
      <c r="G141" s="1637"/>
      <c r="H141" s="1637"/>
      <c r="I141" s="3036">
        <v>5.3700000000000004E-4</v>
      </c>
      <c r="J141" s="1637"/>
      <c r="K141" s="3036">
        <v>5.2400000000000005E-4</v>
      </c>
      <c r="L141" s="1637"/>
      <c r="M141" s="1637" t="str">
        <f t="shared" si="36"/>
        <v>ミツウロコグリーンエネルギー(株)</v>
      </c>
      <c r="N141" s="1637"/>
      <c r="O141" s="3036">
        <f t="shared" si="37"/>
        <v>4.66E-4</v>
      </c>
      <c r="P141" s="1637"/>
      <c r="Q141" s="3036">
        <f t="shared" si="38"/>
        <v>4.9799999999999996E-4</v>
      </c>
      <c r="R141" s="828"/>
      <c r="S141" s="828"/>
    </row>
    <row r="142" spans="2:19" s="2417" customFormat="1">
      <c r="B142" s="828"/>
      <c r="C142" s="1636"/>
      <c r="D142" s="2465" t="s">
        <v>3106</v>
      </c>
      <c r="E142" s="2465"/>
      <c r="F142" s="2465"/>
      <c r="G142" s="1637"/>
      <c r="H142" s="1637"/>
      <c r="I142" s="3036">
        <v>1.7000000000000001E-4</v>
      </c>
      <c r="J142" s="1637"/>
      <c r="K142" s="3036">
        <v>0</v>
      </c>
      <c r="L142" s="1637"/>
      <c r="M142" s="1637" t="str">
        <f t="shared" si="36"/>
        <v>リエスパワー(株)</v>
      </c>
      <c r="N142" s="1637"/>
      <c r="O142" s="3036">
        <f t="shared" si="37"/>
        <v>5.8200000000000005E-4</v>
      </c>
      <c r="P142" s="1637"/>
      <c r="Q142" s="3036">
        <f t="shared" si="38"/>
        <v>0</v>
      </c>
      <c r="R142" s="828"/>
      <c r="S142" s="828"/>
    </row>
    <row r="143" spans="2:19" s="2417" customFormat="1">
      <c r="B143" s="828"/>
      <c r="C143" s="1636"/>
      <c r="D143" s="2465" t="s">
        <v>3107</v>
      </c>
      <c r="E143" s="2465"/>
      <c r="F143" s="2465"/>
      <c r="G143" s="1637"/>
      <c r="H143" s="1637"/>
      <c r="I143" s="3036">
        <v>4.8700000000000002E-4</v>
      </c>
      <c r="J143" s="1637"/>
      <c r="K143" s="3036">
        <v>7.2800000000000002E-4</v>
      </c>
      <c r="L143" s="1637"/>
      <c r="M143" s="1637" t="str">
        <f t="shared" si="36"/>
        <v>ワタミファーム＆エナジー(株)</v>
      </c>
      <c r="N143" s="1637"/>
      <c r="O143" s="3036">
        <f t="shared" si="37"/>
        <v>4.5399999999999998E-4</v>
      </c>
      <c r="P143" s="1637"/>
      <c r="Q143" s="3036">
        <f t="shared" si="38"/>
        <v>4.3899999999999999E-4</v>
      </c>
      <c r="R143" s="828"/>
      <c r="S143" s="828"/>
    </row>
    <row r="144" spans="2:19" s="2417" customFormat="1" hidden="1">
      <c r="B144" s="828"/>
      <c r="C144" s="1636"/>
      <c r="D144" s="2465" t="s">
        <v>3108</v>
      </c>
      <c r="E144" s="2465"/>
      <c r="F144" s="2465"/>
      <c r="G144" s="1637"/>
      <c r="H144" s="1637"/>
      <c r="I144" s="3036">
        <v>4.9200000000000003E-4</v>
      </c>
      <c r="J144" s="1637"/>
      <c r="K144" s="1694">
        <v>4.7699999999999999E-4</v>
      </c>
      <c r="L144" s="1637"/>
      <c r="M144" s="1637"/>
      <c r="N144" s="1637"/>
      <c r="O144" s="1637"/>
      <c r="P144" s="1637"/>
      <c r="Q144" s="1637"/>
      <c r="R144" s="828"/>
      <c r="S144" s="828"/>
    </row>
    <row r="145" spans="2:19" s="2417" customFormat="1" hidden="1">
      <c r="B145" s="828"/>
      <c r="C145" s="1636"/>
      <c r="D145" s="2465" t="s">
        <v>3109</v>
      </c>
      <c r="E145" s="2465"/>
      <c r="F145" s="2465"/>
      <c r="G145" s="1637"/>
      <c r="H145" s="1637"/>
      <c r="I145" s="3036">
        <v>4.95E-4</v>
      </c>
      <c r="J145" s="1637"/>
      <c r="K145" s="1694">
        <v>4.7899999999999999E-4</v>
      </c>
      <c r="L145" s="1637"/>
      <c r="M145" s="1637"/>
      <c r="N145" s="1637"/>
      <c r="O145" s="1637"/>
      <c r="P145" s="1637"/>
      <c r="Q145" s="1637"/>
      <c r="R145" s="828"/>
      <c r="S145" s="828"/>
    </row>
    <row r="146" spans="2:19" s="2417" customFormat="1" hidden="1">
      <c r="B146" s="828"/>
      <c r="C146" s="1636"/>
      <c r="D146" s="2465" t="s">
        <v>3110</v>
      </c>
      <c r="E146" s="2465"/>
      <c r="F146" s="2465"/>
      <c r="G146" s="1637"/>
      <c r="H146" s="1637"/>
      <c r="I146" s="3036">
        <v>6.02E-4</v>
      </c>
      <c r="J146" s="1637"/>
      <c r="K146" s="1694">
        <v>6.0099999999999997E-4</v>
      </c>
      <c r="L146" s="1637"/>
      <c r="M146" s="1637"/>
      <c r="N146" s="1637"/>
      <c r="O146" s="1637"/>
      <c r="P146" s="1637"/>
      <c r="Q146" s="1637"/>
      <c r="R146" s="828"/>
      <c r="S146" s="828"/>
    </row>
    <row r="147" spans="2:19" s="2417" customFormat="1" hidden="1">
      <c r="B147" s="828"/>
      <c r="C147" s="1636"/>
      <c r="D147" s="2465" t="s">
        <v>3111</v>
      </c>
      <c r="E147" s="2465"/>
      <c r="F147" s="2465"/>
      <c r="G147" s="1637"/>
      <c r="H147" s="1637"/>
      <c r="I147" s="3036">
        <v>6.0999999999999997E-4</v>
      </c>
      <c r="J147" s="1637"/>
      <c r="K147" s="1694">
        <v>6.96E-4</v>
      </c>
      <c r="L147" s="1637"/>
      <c r="M147"/>
      <c r="N147"/>
      <c r="O147"/>
      <c r="P147"/>
      <c r="Q147"/>
      <c r="R147" s="828"/>
      <c r="S147" s="828"/>
    </row>
    <row r="148" spans="2:19" s="2417" customFormat="1" hidden="1">
      <c r="B148" s="828"/>
      <c r="C148" s="1636"/>
      <c r="D148" s="2465" t="s">
        <v>3112</v>
      </c>
      <c r="E148" s="2465"/>
      <c r="F148" s="2465"/>
      <c r="G148" s="1637"/>
      <c r="H148" s="1637"/>
      <c r="I148" s="3036">
        <v>2.5399999999999999E-4</v>
      </c>
      <c r="J148" s="1637"/>
      <c r="K148" s="1694">
        <v>5.6099999999999998E-4</v>
      </c>
      <c r="L148" s="1637"/>
      <c r="M148"/>
      <c r="N148"/>
      <c r="O148"/>
      <c r="P148"/>
      <c r="Q148"/>
      <c r="R148" s="828"/>
      <c r="S148" s="828"/>
    </row>
    <row r="149" spans="2:19" s="2417" customFormat="1" hidden="1">
      <c r="B149" s="828"/>
      <c r="C149" s="1636"/>
      <c r="D149" s="2465" t="s">
        <v>3113</v>
      </c>
      <c r="E149" s="2465"/>
      <c r="F149" s="2465"/>
      <c r="G149" s="1637"/>
      <c r="H149" s="1637"/>
      <c r="I149" s="3036">
        <v>1.9000000000000001E-4</v>
      </c>
      <c r="J149" s="1637"/>
      <c r="K149" s="1694">
        <v>6.9899999999999997E-4</v>
      </c>
      <c r="L149" s="1637"/>
      <c r="M149"/>
      <c r="N149"/>
      <c r="O149"/>
      <c r="P149"/>
      <c r="Q149"/>
      <c r="R149" s="828"/>
      <c r="S149" s="828"/>
    </row>
    <row r="150" spans="2:19" s="2417" customFormat="1" hidden="1">
      <c r="B150" s="828"/>
      <c r="C150" s="1636"/>
      <c r="D150" s="2465" t="s">
        <v>3114</v>
      </c>
      <c r="E150" s="2465"/>
      <c r="F150" s="2465"/>
      <c r="G150" s="1637"/>
      <c r="H150" s="1637"/>
      <c r="I150" s="3036">
        <v>5.8100000000000003E-4</v>
      </c>
      <c r="J150" s="1637"/>
      <c r="K150" s="1694">
        <v>5.62E-4</v>
      </c>
      <c r="L150" s="1637"/>
      <c r="M150"/>
      <c r="N150"/>
      <c r="O150"/>
      <c r="P150"/>
      <c r="Q150"/>
      <c r="R150" s="828"/>
      <c r="S150" s="828"/>
    </row>
    <row r="151" spans="2:19" s="2417" customFormat="1" hidden="1">
      <c r="B151" s="828"/>
      <c r="C151" s="1636"/>
      <c r="D151" s="2465" t="s">
        <v>3115</v>
      </c>
      <c r="E151" s="2465"/>
      <c r="F151" s="2465"/>
      <c r="G151" s="1637"/>
      <c r="H151" s="1637"/>
      <c r="I151" s="3036">
        <v>4.9399999999999997E-4</v>
      </c>
      <c r="J151" s="1637"/>
      <c r="K151" s="1694">
        <v>4.7800000000000002E-4</v>
      </c>
      <c r="L151" s="1637"/>
      <c r="M151"/>
      <c r="N151"/>
      <c r="O151"/>
      <c r="P151"/>
      <c r="Q151"/>
      <c r="R151" s="828"/>
      <c r="S151" s="828"/>
    </row>
    <row r="152" spans="2:19" s="2417" customFormat="1" hidden="1">
      <c r="B152" s="828"/>
      <c r="C152" s="1636"/>
      <c r="D152" s="2465" t="s">
        <v>3116</v>
      </c>
      <c r="E152" s="2465"/>
      <c r="F152" s="2465"/>
      <c r="G152" s="1637"/>
      <c r="H152" s="1637"/>
      <c r="I152" s="3036">
        <v>4.1300000000000001E-4</v>
      </c>
      <c r="J152" s="1637"/>
      <c r="K152" s="1694">
        <v>5.0299999999999997E-4</v>
      </c>
      <c r="L152" s="1637"/>
      <c r="M152"/>
      <c r="N152"/>
      <c r="O152"/>
      <c r="P152"/>
      <c r="Q152"/>
      <c r="R152" s="828"/>
      <c r="S152" s="828"/>
    </row>
    <row r="153" spans="2:19" s="2417" customFormat="1" hidden="1">
      <c r="B153" s="828"/>
      <c r="C153" s="1636"/>
      <c r="D153" s="2465" t="s">
        <v>3117</v>
      </c>
      <c r="E153" s="2465"/>
      <c r="F153" s="2465"/>
      <c r="G153" s="1637"/>
      <c r="H153" s="1637"/>
      <c r="I153" s="3036">
        <v>3.2499999999999999E-4</v>
      </c>
      <c r="J153" s="1637"/>
      <c r="K153" s="1694">
        <v>3.0600000000000001E-4</v>
      </c>
      <c r="L153" s="1637"/>
      <c r="M153"/>
      <c r="N153"/>
      <c r="O153"/>
      <c r="P153"/>
      <c r="Q153"/>
      <c r="R153" s="828"/>
      <c r="S153" s="828"/>
    </row>
    <row r="154" spans="2:19" s="2417" customFormat="1" hidden="1">
      <c r="B154" s="828"/>
      <c r="C154" s="1636"/>
      <c r="D154" s="2465" t="s">
        <v>3118</v>
      </c>
      <c r="E154" s="2465"/>
      <c r="F154" s="2465"/>
      <c r="G154" s="1637"/>
      <c r="H154" s="1637"/>
      <c r="I154" s="3036">
        <v>5.53E-4</v>
      </c>
      <c r="J154" s="1637"/>
      <c r="K154" s="1694">
        <v>5.3399999999999997E-4</v>
      </c>
      <c r="L154" s="1637"/>
      <c r="M154"/>
      <c r="N154"/>
      <c r="O154"/>
      <c r="P154"/>
      <c r="Q154"/>
      <c r="R154" s="828"/>
      <c r="S154" s="828"/>
    </row>
    <row r="155" spans="2:19" s="2417" customFormat="1" hidden="1">
      <c r="B155" s="828"/>
      <c r="C155" s="1636"/>
      <c r="D155" s="2465" t="s">
        <v>3119</v>
      </c>
      <c r="E155" s="2465"/>
      <c r="F155" s="2465"/>
      <c r="G155" s="1637"/>
      <c r="H155" s="1637"/>
      <c r="I155" s="3036">
        <v>3.6000000000000001E-5</v>
      </c>
      <c r="J155" s="1637"/>
      <c r="K155" s="1694">
        <v>5.7600000000000001E-4</v>
      </c>
      <c r="L155" s="1637"/>
      <c r="M155"/>
      <c r="N155"/>
      <c r="O155"/>
      <c r="P155"/>
      <c r="Q155"/>
      <c r="R155" s="828"/>
      <c r="S155" s="828"/>
    </row>
    <row r="156" spans="2:19" s="2417" customFormat="1" hidden="1">
      <c r="B156" s="828"/>
      <c r="C156" s="1636"/>
      <c r="D156" s="2465" t="s">
        <v>3120</v>
      </c>
      <c r="E156" s="2465"/>
      <c r="F156" s="2465"/>
      <c r="G156" s="1637"/>
      <c r="H156" s="1637"/>
      <c r="I156" s="3036">
        <v>4.1599999999999997E-4</v>
      </c>
      <c r="J156" s="1637"/>
      <c r="K156" s="1694">
        <v>5.6300000000000002E-4</v>
      </c>
      <c r="L156" s="1637"/>
      <c r="M156"/>
      <c r="N156"/>
      <c r="O156"/>
      <c r="P156"/>
      <c r="Q156"/>
      <c r="R156" s="828"/>
      <c r="S156" s="828"/>
    </row>
    <row r="157" spans="2:19" s="2417" customFormat="1" hidden="1">
      <c r="B157" s="828"/>
      <c r="C157" s="1636"/>
      <c r="D157" s="2465" t="s">
        <v>3121</v>
      </c>
      <c r="E157" s="2465"/>
      <c r="F157" s="2465"/>
      <c r="G157" s="1637"/>
      <c r="H157" s="1637"/>
      <c r="I157" s="3036">
        <v>3.7199999999999999E-4</v>
      </c>
      <c r="J157" s="1637"/>
      <c r="K157" s="1694">
        <v>3.5300000000000002E-4</v>
      </c>
      <c r="L157" s="1637"/>
      <c r="M157"/>
      <c r="N157"/>
      <c r="O157"/>
      <c r="P157"/>
      <c r="Q157"/>
      <c r="R157" s="828"/>
      <c r="S157" s="828"/>
    </row>
    <row r="158" spans="2:19" s="2417" customFormat="1" hidden="1">
      <c r="B158" s="828"/>
      <c r="C158" s="1636"/>
      <c r="D158" s="2465" t="s">
        <v>3122</v>
      </c>
      <c r="E158" s="2465"/>
      <c r="F158" s="2465"/>
      <c r="G158" s="1637"/>
      <c r="H158" s="1637"/>
      <c r="I158" s="3036">
        <v>5.5999999999999995E-4</v>
      </c>
      <c r="J158" s="1637"/>
      <c r="K158" s="1694">
        <v>5.6999999999999998E-4</v>
      </c>
      <c r="L158" s="1637"/>
      <c r="M158"/>
      <c r="N158"/>
      <c r="O158"/>
      <c r="P158"/>
      <c r="Q158"/>
      <c r="R158" s="828"/>
      <c r="S158" s="828"/>
    </row>
    <row r="159" spans="2:19" s="2417" customFormat="1" hidden="1">
      <c r="B159" s="828"/>
      <c r="C159" s="1636"/>
      <c r="D159" s="2465" t="s">
        <v>3123</v>
      </c>
      <c r="E159" s="2465"/>
      <c r="F159" s="2465"/>
      <c r="G159" s="1637"/>
      <c r="H159" s="1637"/>
      <c r="I159" s="3036">
        <v>4.8799999999999999E-4</v>
      </c>
      <c r="J159" s="1637"/>
      <c r="K159" s="1694">
        <v>3.48E-4</v>
      </c>
      <c r="L159" s="1637"/>
      <c r="M159"/>
      <c r="N159"/>
      <c r="O159"/>
      <c r="P159"/>
      <c r="Q159"/>
      <c r="R159" s="828"/>
      <c r="S159" s="828"/>
    </row>
    <row r="160" spans="2:19" s="2417" customFormat="1" hidden="1">
      <c r="B160" s="828"/>
      <c r="C160" s="1636"/>
      <c r="D160" s="2465" t="s">
        <v>3124</v>
      </c>
      <c r="E160" s="2465"/>
      <c r="F160" s="2465"/>
      <c r="G160" s="1637"/>
      <c r="H160" s="1637"/>
      <c r="I160" s="3036">
        <v>3.2899999999999997E-4</v>
      </c>
      <c r="J160" s="1637"/>
      <c r="K160" s="1694">
        <v>3.1E-4</v>
      </c>
      <c r="L160" s="1637"/>
      <c r="M160"/>
      <c r="N160"/>
      <c r="O160"/>
      <c r="P160"/>
      <c r="Q160"/>
      <c r="R160" s="828"/>
      <c r="S160" s="828"/>
    </row>
    <row r="161" spans="2:19" s="2417" customFormat="1" hidden="1">
      <c r="B161" s="828"/>
      <c r="C161" s="1636"/>
      <c r="D161" s="2465" t="s">
        <v>3125</v>
      </c>
      <c r="E161" s="2465"/>
      <c r="F161" s="2465"/>
      <c r="G161" s="1637"/>
      <c r="H161" s="1637"/>
      <c r="I161" s="3036">
        <v>6.3599999999999996E-4</v>
      </c>
      <c r="J161" s="1637"/>
      <c r="K161" s="1694">
        <v>6.1499999999999999E-4</v>
      </c>
      <c r="L161" s="1637"/>
      <c r="M161"/>
      <c r="N161"/>
      <c r="O161"/>
      <c r="P161"/>
      <c r="Q161"/>
      <c r="R161" s="828"/>
      <c r="S161" s="828"/>
    </row>
    <row r="162" spans="2:19" s="2417" customFormat="1" hidden="1">
      <c r="B162" s="828"/>
      <c r="C162" s="1636"/>
      <c r="D162" s="2465" t="s">
        <v>3126</v>
      </c>
      <c r="E162" s="2465"/>
      <c r="F162" s="2465"/>
      <c r="G162" s="1637"/>
      <c r="H162" s="1637"/>
      <c r="I162" s="3036">
        <v>5.6599999999999999E-4</v>
      </c>
      <c r="J162" s="1637"/>
      <c r="K162" s="1694">
        <v>5.4699999999999996E-4</v>
      </c>
      <c r="L162" s="1637"/>
      <c r="M162"/>
      <c r="N162"/>
      <c r="O162"/>
      <c r="P162"/>
      <c r="Q162"/>
      <c r="R162" s="828"/>
      <c r="S162" s="828"/>
    </row>
    <row r="163" spans="2:19" s="2417" customFormat="1" hidden="1">
      <c r="B163" s="828"/>
      <c r="C163" s="1636"/>
      <c r="D163" s="2465" t="s">
        <v>3127</v>
      </c>
      <c r="E163" s="2465"/>
      <c r="F163" s="2465"/>
      <c r="G163" s="1637"/>
      <c r="H163" s="1637"/>
      <c r="I163" s="3036">
        <v>3.39E-4</v>
      </c>
      <c r="J163" s="1637"/>
      <c r="K163" s="1694">
        <v>3.2299999999999999E-4</v>
      </c>
      <c r="L163" s="1637"/>
      <c r="M163"/>
      <c r="N163"/>
      <c r="O163"/>
      <c r="P163"/>
      <c r="Q163"/>
      <c r="R163" s="828"/>
      <c r="S163" s="828"/>
    </row>
    <row r="164" spans="2:19" s="2417" customFormat="1" hidden="1">
      <c r="B164" s="828"/>
      <c r="C164" s="1636"/>
      <c r="D164" s="2465" t="s">
        <v>3128</v>
      </c>
      <c r="E164" s="2465"/>
      <c r="F164" s="2465"/>
      <c r="G164" s="1637"/>
      <c r="H164" s="1637"/>
      <c r="I164" s="3036">
        <v>5.1900000000000004E-4</v>
      </c>
      <c r="J164" s="1637"/>
      <c r="K164" s="1694">
        <v>5.0100000000000003E-4</v>
      </c>
      <c r="L164" s="1637"/>
      <c r="M164"/>
      <c r="N164"/>
      <c r="O164"/>
      <c r="P164"/>
      <c r="Q164"/>
      <c r="R164" s="828"/>
      <c r="S164" s="828"/>
    </row>
    <row r="165" spans="2:19" s="2417" customFormat="1" hidden="1">
      <c r="B165" s="828"/>
      <c r="C165" s="1636"/>
      <c r="D165" s="2465" t="s">
        <v>3129</v>
      </c>
      <c r="E165" s="2465"/>
      <c r="F165" s="2465"/>
      <c r="G165" s="1637"/>
      <c r="H165" s="1637"/>
      <c r="I165" s="3036">
        <v>5.5999999999999995E-4</v>
      </c>
      <c r="J165" s="1637"/>
      <c r="K165" s="1694">
        <v>5.4100000000000003E-4</v>
      </c>
      <c r="L165" s="1637"/>
      <c r="M165" s="1637"/>
      <c r="N165" s="1637"/>
      <c r="O165" s="1637"/>
      <c r="P165" s="1637"/>
      <c r="Q165" s="1637"/>
      <c r="R165" s="828"/>
      <c r="S165" s="828"/>
    </row>
    <row r="166" spans="2:19" hidden="1">
      <c r="B166" s="828"/>
      <c r="C166" s="1636"/>
      <c r="D166" s="2465" t="s">
        <v>3130</v>
      </c>
      <c r="E166" s="2465"/>
      <c r="F166" s="2465"/>
      <c r="G166" s="1637"/>
      <c r="H166" s="1637"/>
      <c r="I166" s="3036">
        <v>5.9900000000000003E-4</v>
      </c>
      <c r="J166" s="1637"/>
      <c r="K166" s="1694">
        <v>9.2500000000000004E-4</v>
      </c>
      <c r="L166" s="1637"/>
      <c r="M166" s="1637"/>
      <c r="N166" s="1637"/>
      <c r="O166" s="1637"/>
      <c r="P166" s="1637"/>
      <c r="Q166" s="1637"/>
      <c r="R166" s="828"/>
      <c r="S166" s="828"/>
    </row>
    <row r="167" spans="2:19" hidden="1">
      <c r="B167" s="828"/>
      <c r="C167" s="1636"/>
      <c r="D167" s="2465" t="s">
        <v>3131</v>
      </c>
      <c r="E167" s="2465"/>
      <c r="F167" s="2465"/>
      <c r="G167" s="1637"/>
      <c r="H167" s="1637"/>
      <c r="I167" s="3036">
        <v>4.8700000000000002E-4</v>
      </c>
      <c r="J167" s="1637"/>
      <c r="K167" s="1694">
        <v>3.2699999999999998E-4</v>
      </c>
      <c r="L167" s="1637"/>
      <c r="M167" s="1637"/>
      <c r="N167" s="1637"/>
      <c r="O167" s="1637"/>
      <c r="P167" s="1637"/>
      <c r="Q167" s="1637"/>
      <c r="R167" s="828"/>
      <c r="S167" s="828"/>
    </row>
    <row r="168" spans="2:19" hidden="1">
      <c r="B168" s="828"/>
      <c r="C168" s="1636"/>
      <c r="D168" s="2465" t="s">
        <v>3132</v>
      </c>
      <c r="E168" s="2465"/>
      <c r="F168" s="2465"/>
      <c r="G168" s="1637"/>
      <c r="H168" s="1637"/>
      <c r="I168" s="3036">
        <v>7.1000000000000005E-5</v>
      </c>
      <c r="J168" s="1637"/>
      <c r="K168" s="1694">
        <v>1.4899999999999999E-4</v>
      </c>
      <c r="L168" s="1637"/>
      <c r="M168" s="1637"/>
      <c r="N168" s="1637"/>
      <c r="O168" s="1637"/>
      <c r="P168" s="1637"/>
      <c r="Q168" s="1637"/>
      <c r="R168" s="828"/>
      <c r="S168" s="828"/>
    </row>
    <row r="169" spans="2:19" hidden="1">
      <c r="B169" s="828"/>
      <c r="C169" s="1636"/>
      <c r="D169" s="2465" t="s">
        <v>3133</v>
      </c>
      <c r="E169" s="2465"/>
      <c r="F169" s="2465"/>
      <c r="G169" s="1637"/>
      <c r="H169" s="1637"/>
      <c r="I169" s="3036">
        <v>5.3899999999999998E-4</v>
      </c>
      <c r="J169" s="1637"/>
      <c r="K169" s="1694">
        <v>5.2099999999999998E-4</v>
      </c>
      <c r="L169" s="1637"/>
      <c r="M169" s="1637"/>
      <c r="N169" s="1637"/>
      <c r="O169" s="1637"/>
      <c r="P169" s="1637"/>
      <c r="Q169" s="1637"/>
      <c r="R169" s="828"/>
      <c r="S169" s="828"/>
    </row>
    <row r="170" spans="2:19" hidden="1">
      <c r="B170" s="828"/>
      <c r="C170" s="1636"/>
      <c r="D170" s="2465" t="s">
        <v>3134</v>
      </c>
      <c r="E170" s="2465"/>
      <c r="F170" s="2465"/>
      <c r="G170" s="1637"/>
      <c r="H170" s="1637"/>
      <c r="I170" s="3036">
        <v>3.6499999999999998E-4</v>
      </c>
      <c r="J170" s="1637"/>
      <c r="K170" s="1694">
        <v>4.0999999999999999E-4</v>
      </c>
      <c r="L170" s="1637"/>
      <c r="M170" s="1637"/>
      <c r="N170" s="1637"/>
      <c r="O170" s="1637"/>
      <c r="P170" s="1637"/>
      <c r="Q170" s="1637"/>
      <c r="R170" s="828"/>
      <c r="S170" s="828"/>
    </row>
    <row r="171" spans="2:19" hidden="1">
      <c r="B171" s="828"/>
      <c r="C171" s="1636"/>
      <c r="D171" s="2465" t="s">
        <v>3135</v>
      </c>
      <c r="E171" s="2465"/>
      <c r="F171" s="2465"/>
      <c r="G171" s="1637"/>
      <c r="H171" s="1637"/>
      <c r="I171" s="3036">
        <v>0</v>
      </c>
      <c r="J171" s="1637"/>
      <c r="K171" s="1694">
        <v>1.4790000000000001E-3</v>
      </c>
      <c r="L171" s="1637"/>
      <c r="M171" s="1637"/>
      <c r="N171" s="1637"/>
      <c r="O171" s="1637"/>
      <c r="P171" s="1637"/>
      <c r="Q171" s="1637"/>
      <c r="R171" s="828"/>
      <c r="S171" s="828"/>
    </row>
    <row r="172" spans="2:19" hidden="1">
      <c r="B172" s="828"/>
      <c r="C172" s="1636"/>
      <c r="D172" s="2465" t="s">
        <v>3136</v>
      </c>
      <c r="E172" s="2465"/>
      <c r="F172" s="2465"/>
      <c r="G172" s="1637"/>
      <c r="H172" s="1637"/>
      <c r="I172" s="3036">
        <v>5.3200000000000003E-4</v>
      </c>
      <c r="J172" s="1637"/>
      <c r="K172" s="1694">
        <v>5.8799999999999998E-4</v>
      </c>
      <c r="L172" s="1637"/>
      <c r="M172" s="1637"/>
      <c r="N172" s="1637"/>
      <c r="O172" s="1637"/>
      <c r="P172" s="1637"/>
      <c r="Q172" s="1637"/>
      <c r="R172" s="828"/>
      <c r="S172" s="828"/>
    </row>
    <row r="173" spans="2:19" hidden="1">
      <c r="B173" s="828"/>
      <c r="C173" s="1636"/>
      <c r="D173" s="2465" t="s">
        <v>1884</v>
      </c>
      <c r="E173" s="2465"/>
      <c r="F173" s="2465"/>
      <c r="G173" s="1637"/>
      <c r="H173" s="1637"/>
      <c r="I173" s="3036">
        <v>3.86E-4</v>
      </c>
      <c r="J173" s="1637"/>
      <c r="K173" s="1694">
        <v>5.5199999999999997E-4</v>
      </c>
      <c r="L173" s="1637"/>
      <c r="M173" s="1637"/>
      <c r="N173" s="1637"/>
      <c r="O173" s="1637"/>
      <c r="P173" s="1637"/>
      <c r="Q173" s="1637"/>
      <c r="R173" s="828"/>
      <c r="S173" s="828"/>
    </row>
    <row r="174" spans="2:19" hidden="1">
      <c r="B174" s="828"/>
      <c r="C174" s="1636"/>
      <c r="D174" s="2465" t="s">
        <v>3137</v>
      </c>
      <c r="E174" s="2465"/>
      <c r="F174" s="2465"/>
      <c r="G174" s="1637"/>
      <c r="H174" s="1637"/>
      <c r="I174" s="3036">
        <v>6.2200000000000005E-4</v>
      </c>
      <c r="J174" s="1637"/>
      <c r="K174" s="1694">
        <v>6.11E-4</v>
      </c>
      <c r="L174" s="1637"/>
      <c r="M174" s="1637"/>
      <c r="N174" s="1637"/>
      <c r="O174" s="1637"/>
      <c r="P174" s="1637"/>
      <c r="Q174" s="1637"/>
      <c r="R174" s="828"/>
      <c r="S174" s="828"/>
    </row>
    <row r="175" spans="2:19" hidden="1">
      <c r="B175" s="828"/>
      <c r="C175" s="1636"/>
      <c r="D175" s="2465" t="s">
        <v>3138</v>
      </c>
      <c r="E175" s="2465"/>
      <c r="F175" s="2465"/>
      <c r="G175" s="1637"/>
      <c r="H175" s="1637"/>
      <c r="I175" s="3036">
        <v>1.1E-5</v>
      </c>
      <c r="J175" s="1637"/>
      <c r="K175" s="1694">
        <v>2.6499999999999999E-4</v>
      </c>
      <c r="L175" s="1637"/>
      <c r="M175" s="1637"/>
      <c r="N175" s="1637"/>
      <c r="O175" s="1637"/>
      <c r="P175" s="1637"/>
      <c r="Q175" s="1637"/>
      <c r="R175" s="828"/>
      <c r="S175" s="828"/>
    </row>
    <row r="176" spans="2:19" hidden="1">
      <c r="B176" s="828"/>
      <c r="C176" s="1636"/>
      <c r="D176" s="2465" t="s">
        <v>3139</v>
      </c>
      <c r="E176" s="2465"/>
      <c r="F176" s="2465"/>
      <c r="G176" s="1637"/>
      <c r="H176" s="1637"/>
      <c r="I176" s="3036">
        <v>5.8E-4</v>
      </c>
      <c r="J176" s="1637"/>
      <c r="K176" s="1694">
        <v>5.5999999999999995E-4</v>
      </c>
      <c r="L176" s="1637"/>
      <c r="M176" s="1637"/>
      <c r="N176" s="1637"/>
      <c r="O176" s="1637"/>
      <c r="P176" s="1637"/>
      <c r="Q176" s="1637"/>
      <c r="R176" s="828"/>
      <c r="S176" s="828"/>
    </row>
    <row r="177" spans="2:19" hidden="1">
      <c r="B177" s="828"/>
      <c r="C177" s="1636"/>
      <c r="D177" s="2465" t="s">
        <v>3140</v>
      </c>
      <c r="E177" s="2465"/>
      <c r="F177" s="2465"/>
      <c r="G177" s="1637"/>
      <c r="H177" s="1637"/>
      <c r="I177" s="3036">
        <v>4.8200000000000001E-4</v>
      </c>
      <c r="J177" s="1637"/>
      <c r="K177" s="1694">
        <v>4.8700000000000002E-4</v>
      </c>
      <c r="L177" s="1637"/>
      <c r="M177" s="1637"/>
      <c r="N177" s="1637"/>
      <c r="O177" s="1637"/>
      <c r="P177" s="1637"/>
      <c r="Q177" s="1637"/>
      <c r="R177" s="828"/>
      <c r="S177" s="828"/>
    </row>
    <row r="178" spans="2:19" hidden="1">
      <c r="B178" s="828"/>
      <c r="C178" s="1636"/>
      <c r="D178" s="2465" t="s">
        <v>3141</v>
      </c>
      <c r="E178" s="2465"/>
      <c r="F178" s="2465"/>
      <c r="G178" s="1637"/>
      <c r="H178" s="1637"/>
      <c r="I178" s="3036">
        <v>3.1100000000000002E-4</v>
      </c>
      <c r="J178" s="1637"/>
      <c r="K178" s="1694">
        <v>3.01E-4</v>
      </c>
      <c r="L178" s="1637"/>
      <c r="M178" s="1637"/>
      <c r="N178" s="1637"/>
      <c r="O178" s="1637"/>
      <c r="P178" s="1637"/>
      <c r="Q178" s="1637"/>
      <c r="R178" s="828"/>
      <c r="S178" s="828"/>
    </row>
    <row r="179" spans="2:19" hidden="1">
      <c r="B179" s="828"/>
      <c r="C179" s="1636"/>
      <c r="D179" s="2465" t="s">
        <v>3142</v>
      </c>
      <c r="E179" s="2465"/>
      <c r="F179" s="2465"/>
      <c r="G179" s="1637"/>
      <c r="H179" s="1637"/>
      <c r="I179" s="3036">
        <v>0</v>
      </c>
      <c r="J179" s="1637"/>
      <c r="K179" s="1694">
        <v>0</v>
      </c>
      <c r="L179" s="1637"/>
      <c r="M179" s="1637"/>
      <c r="N179" s="1637"/>
      <c r="O179" s="1637"/>
      <c r="P179" s="1637"/>
      <c r="Q179" s="1637"/>
      <c r="R179" s="828"/>
      <c r="S179" s="828"/>
    </row>
    <row r="180" spans="2:19" hidden="1">
      <c r="B180" s="828"/>
      <c r="C180" s="1636"/>
      <c r="D180" s="2465" t="s">
        <v>3143</v>
      </c>
      <c r="E180" s="2465"/>
      <c r="F180" s="2465"/>
      <c r="G180" s="1637"/>
      <c r="H180" s="1637"/>
      <c r="I180" s="3036">
        <v>4.66E-4</v>
      </c>
      <c r="J180" s="1637"/>
      <c r="K180" s="1694">
        <v>4.9799999999999996E-4</v>
      </c>
      <c r="L180" s="1637"/>
      <c r="M180" s="1637"/>
      <c r="N180" s="1637"/>
      <c r="O180" s="1637"/>
      <c r="P180" s="1637"/>
      <c r="Q180" s="1637"/>
      <c r="R180" s="828"/>
      <c r="S180" s="828"/>
    </row>
    <row r="181" spans="2:19" hidden="1">
      <c r="B181" s="828"/>
      <c r="C181" s="1636"/>
      <c r="D181" s="2465" t="s">
        <v>3144</v>
      </c>
      <c r="E181" s="2465"/>
      <c r="F181" s="2465"/>
      <c r="G181" s="1637"/>
      <c r="H181" s="1637"/>
      <c r="I181" s="3036">
        <v>5.8200000000000005E-4</v>
      </c>
      <c r="J181" s="1637"/>
      <c r="K181" s="1694">
        <v>0</v>
      </c>
      <c r="L181" s="1637"/>
      <c r="M181" s="1637"/>
      <c r="N181" s="1637"/>
      <c r="O181" s="1637"/>
      <c r="P181" s="1637"/>
      <c r="Q181" s="1637"/>
      <c r="R181" s="828"/>
      <c r="S181" s="828"/>
    </row>
    <row r="182" spans="2:19" hidden="1">
      <c r="B182" s="828"/>
      <c r="C182" s="1636"/>
      <c r="D182" s="2465" t="s">
        <v>3145</v>
      </c>
      <c r="E182" s="2465"/>
      <c r="F182" s="2465"/>
      <c r="G182" s="1637"/>
      <c r="H182" s="1637"/>
      <c r="I182" s="3036">
        <v>4.5399999999999998E-4</v>
      </c>
      <c r="J182" s="1637"/>
      <c r="K182" s="1694">
        <v>4.3899999999999999E-4</v>
      </c>
      <c r="L182" s="1637"/>
      <c r="M182" s="1637"/>
      <c r="N182" s="1637"/>
      <c r="O182" s="1637"/>
      <c r="P182" s="1637"/>
      <c r="Q182" s="1637"/>
      <c r="R182" s="828"/>
      <c r="S182" s="828"/>
    </row>
    <row r="183" spans="2:19" ht="3" customHeight="1">
      <c r="B183" s="828"/>
      <c r="C183" s="1636"/>
      <c r="D183" s="1637"/>
      <c r="E183" s="828"/>
      <c r="F183" s="1637"/>
      <c r="G183" s="1637"/>
      <c r="H183" s="1637"/>
      <c r="I183" s="3037"/>
      <c r="J183" s="1637"/>
      <c r="K183" s="1637"/>
      <c r="L183" s="1637"/>
      <c r="M183" s="1637"/>
      <c r="N183" s="1637"/>
      <c r="O183" s="1637"/>
      <c r="P183" s="1637"/>
      <c r="Q183" s="1637"/>
      <c r="R183" s="828"/>
      <c r="S183" s="828"/>
    </row>
    <row r="184" spans="2:19">
      <c r="B184" s="828"/>
      <c r="C184" s="1636"/>
      <c r="D184" s="1637" t="s">
        <v>1808</v>
      </c>
      <c r="E184" s="828"/>
      <c r="F184" s="1637"/>
      <c r="G184" s="1637"/>
      <c r="H184" s="1637"/>
      <c r="I184" s="3036">
        <v>5.7899999999999998E-4</v>
      </c>
      <c r="J184" s="1637"/>
      <c r="K184" s="1637"/>
      <c r="L184" s="1637"/>
      <c r="M184" s="1637"/>
      <c r="N184" s="1637"/>
      <c r="O184" s="1637"/>
      <c r="P184" s="1637"/>
      <c r="Q184" s="1637"/>
      <c r="R184" s="828"/>
      <c r="S184" s="828"/>
    </row>
    <row r="185" spans="2:19">
      <c r="B185" s="828"/>
      <c r="C185" s="1636"/>
      <c r="D185" s="1636"/>
      <c r="E185" s="1637"/>
      <c r="F185" s="1637"/>
      <c r="G185" s="1637"/>
      <c r="H185" s="1637"/>
      <c r="I185" s="1693"/>
      <c r="J185" s="1637"/>
      <c r="K185" s="1637"/>
      <c r="L185" s="1637"/>
      <c r="M185" s="1637"/>
      <c r="N185" s="1637"/>
      <c r="O185" s="1637"/>
      <c r="P185" s="1637"/>
      <c r="Q185" s="1637"/>
      <c r="R185" s="828"/>
      <c r="S185" s="828"/>
    </row>
    <row r="186" spans="2:19">
      <c r="B186" s="828"/>
      <c r="C186" s="1643" t="s">
        <v>1809</v>
      </c>
      <c r="D186" s="1636"/>
      <c r="E186" s="1636"/>
      <c r="F186" s="1636"/>
      <c r="G186" s="1636"/>
      <c r="H186" s="1636"/>
      <c r="I186" s="1636"/>
      <c r="J186" s="1636"/>
      <c r="K186" s="1636"/>
      <c r="L186" s="1636"/>
      <c r="M186" s="1636"/>
      <c r="N186" s="1636"/>
      <c r="O186" s="1636"/>
      <c r="P186" s="1636"/>
      <c r="Q186" s="1636"/>
      <c r="R186" s="828"/>
      <c r="S186" s="828"/>
    </row>
    <row r="187" spans="2:19">
      <c r="B187" s="828"/>
      <c r="C187" s="828"/>
      <c r="D187" s="2151" t="s">
        <v>2305</v>
      </c>
      <c r="E187" s="2152"/>
      <c r="F187" s="2153"/>
      <c r="G187" s="828"/>
      <c r="H187" s="2154" t="s">
        <v>2341</v>
      </c>
      <c r="I187" s="2158" t="s">
        <v>1009</v>
      </c>
      <c r="J187" s="2156"/>
      <c r="K187" s="2156"/>
      <c r="L187" s="2156"/>
      <c r="M187" s="2157"/>
      <c r="N187" s="2158" t="s">
        <v>2320</v>
      </c>
      <c r="O187" s="2159"/>
      <c r="P187" s="2159"/>
      <c r="Q187" s="2160"/>
      <c r="R187" s="3038" t="s">
        <v>3516</v>
      </c>
      <c r="S187" s="828"/>
    </row>
    <row r="188" spans="2:19" hidden="1">
      <c r="B188" s="828"/>
      <c r="C188" s="828"/>
      <c r="D188" s="2162"/>
      <c r="E188" s="2163"/>
      <c r="F188" s="2164"/>
      <c r="G188" s="828"/>
      <c r="H188" s="828"/>
      <c r="I188" s="2155">
        <v>300</v>
      </c>
      <c r="J188" s="2156">
        <v>2000</v>
      </c>
      <c r="K188" s="2156">
        <v>10000</v>
      </c>
      <c r="L188" s="2156">
        <v>30000</v>
      </c>
      <c r="M188" s="2157"/>
      <c r="N188" s="2165">
        <f>I96</f>
        <v>5.1741803278688527E-2</v>
      </c>
      <c r="O188" s="2166">
        <f>I97</f>
        <v>4.9799999999999997E-2</v>
      </c>
      <c r="P188" s="2166">
        <f>I101</f>
        <v>6.855E-2</v>
      </c>
      <c r="Q188" s="2167"/>
      <c r="R188" s="2154"/>
      <c r="S188" s="828"/>
    </row>
    <row r="189" spans="2:19" ht="24">
      <c r="B189" s="828"/>
      <c r="C189" s="828"/>
      <c r="D189" s="2169"/>
      <c r="E189" s="2170"/>
      <c r="F189" s="2171"/>
      <c r="G189" s="828"/>
      <c r="H189" s="828"/>
      <c r="I189" s="2172" t="s">
        <v>2321</v>
      </c>
      <c r="J189" s="2173" t="s">
        <v>2322</v>
      </c>
      <c r="K189" s="2173" t="s">
        <v>2323</v>
      </c>
      <c r="L189" s="2173" t="s">
        <v>2324</v>
      </c>
      <c r="M189" s="2172" t="s">
        <v>2325</v>
      </c>
      <c r="N189" s="2172" t="s">
        <v>2326</v>
      </c>
      <c r="O189" s="2172" t="s">
        <v>1810</v>
      </c>
      <c r="P189" s="2172" t="s">
        <v>2327</v>
      </c>
      <c r="Q189" s="2174" t="s">
        <v>1629</v>
      </c>
      <c r="R189" s="3039" t="s">
        <v>3517</v>
      </c>
      <c r="S189" s="828"/>
    </row>
    <row r="190" spans="2:19" ht="14.25" customHeight="1">
      <c r="B190" s="828"/>
      <c r="C190" s="828"/>
      <c r="D190" s="2175" t="s">
        <v>1794</v>
      </c>
      <c r="E190" s="2158" t="s">
        <v>462</v>
      </c>
      <c r="F190" s="2176"/>
      <c r="G190" s="828">
        <f>メイン!R47</f>
        <v>0</v>
      </c>
      <c r="H190" s="828">
        <f>IF(G190=0,0,IF(G190&lt;$I$188,I190,IF(G190&lt;$J$188,J190,IF(G190&lt;$K$188,K190,IF(G190&lt;$L$188,L190,M190)))))</f>
        <v>0</v>
      </c>
      <c r="I190" s="2177">
        <v>1480</v>
      </c>
      <c r="J190" s="2177">
        <v>1480</v>
      </c>
      <c r="K190" s="2177">
        <v>1480</v>
      </c>
      <c r="L190" s="2177">
        <v>1900</v>
      </c>
      <c r="M190" s="2177">
        <v>2230</v>
      </c>
      <c r="N190" s="3019">
        <v>0.9</v>
      </c>
      <c r="O190" s="3019">
        <v>0.08</v>
      </c>
      <c r="P190" s="3019">
        <v>1.9999999999999976E-2</v>
      </c>
      <c r="Q190" s="3020" t="s">
        <v>2328</v>
      </c>
      <c r="R190" s="2180">
        <f t="shared" ref="R190:R205" si="39">SUMPRODUCT(N190:P190,$N$188:$P$188)</f>
        <v>5.1922622950819675E-2</v>
      </c>
      <c r="S190" s="828"/>
    </row>
    <row r="191" spans="2:19" ht="14.25" customHeight="1">
      <c r="B191" s="828"/>
      <c r="C191" s="828"/>
      <c r="D191" s="2181"/>
      <c r="E191" s="2158" t="s">
        <v>2306</v>
      </c>
      <c r="F191" s="2176"/>
      <c r="G191" s="828">
        <f>メイン!R48</f>
        <v>0</v>
      </c>
      <c r="H191" s="828">
        <f>IF(G191=0,0,IF(G191&lt;$I$188,I191,IF(G191&lt;$J$188,J191,IF(G191&lt;$K$188,K191,IF(G191&lt;$L$188,L191,M191)))))</f>
        <v>0</v>
      </c>
      <c r="I191" s="2177">
        <v>1050</v>
      </c>
      <c r="J191" s="2177">
        <v>1050</v>
      </c>
      <c r="K191" s="2177">
        <v>1050</v>
      </c>
      <c r="L191" s="2177">
        <v>1220</v>
      </c>
      <c r="M191" s="2177">
        <v>1220</v>
      </c>
      <c r="N191" s="3019">
        <v>0.82</v>
      </c>
      <c r="O191" s="3019">
        <v>0.1</v>
      </c>
      <c r="P191" s="3019">
        <v>8.0000000000000043E-2</v>
      </c>
      <c r="Q191" s="3020" t="s">
        <v>2328</v>
      </c>
      <c r="R191" s="2180">
        <f>SUMPRODUCT(N191:P191,$N$188:$P$188)</f>
        <v>5.2892278688524592E-2</v>
      </c>
      <c r="S191" s="828"/>
    </row>
    <row r="192" spans="2:19" ht="14.25" customHeight="1">
      <c r="B192" s="828"/>
      <c r="C192" s="828"/>
      <c r="D192" s="2182" t="s">
        <v>2310</v>
      </c>
      <c r="E192" s="2158" t="s">
        <v>2311</v>
      </c>
      <c r="F192" s="2176"/>
      <c r="G192" s="828">
        <f>メイン!R49</f>
        <v>0</v>
      </c>
      <c r="H192" s="828">
        <f>IF(G192=0,0,IF(G192&lt;$I$188,I192,IF(G192&lt;$J$188,J192,IF(G192&lt;$K$188,K192,IF(G192&lt;$L$188,L192,M192)))))</f>
        <v>0</v>
      </c>
      <c r="I192" s="2177">
        <v>540</v>
      </c>
      <c r="J192" s="2177">
        <v>540</v>
      </c>
      <c r="K192" s="2177">
        <v>540</v>
      </c>
      <c r="L192" s="2177">
        <v>540</v>
      </c>
      <c r="M192" s="2177">
        <v>540</v>
      </c>
      <c r="N192" s="3019">
        <v>0.68</v>
      </c>
      <c r="O192" s="3019">
        <v>0.18</v>
      </c>
      <c r="P192" s="3019">
        <v>0.13999999999999996</v>
      </c>
      <c r="Q192" s="3020" t="s">
        <v>2328</v>
      </c>
      <c r="R192" s="2180">
        <f t="shared" si="39"/>
        <v>5.3745426229508203E-2</v>
      </c>
      <c r="S192" s="828"/>
    </row>
    <row r="193" spans="2:19" ht="14.25" customHeight="1">
      <c r="B193" s="828"/>
      <c r="C193" s="828"/>
      <c r="D193" s="2182"/>
      <c r="E193" s="2151" t="s">
        <v>2312</v>
      </c>
      <c r="F193" s="2172" t="s">
        <v>2313</v>
      </c>
      <c r="G193" s="828">
        <f>メイン!R50</f>
        <v>0</v>
      </c>
      <c r="H193" s="2183">
        <f>IF(G193&gt;0,I193,0)</f>
        <v>0</v>
      </c>
      <c r="I193" s="2177">
        <v>580</v>
      </c>
      <c r="J193" s="2177">
        <v>580</v>
      </c>
      <c r="K193" s="2177">
        <v>580</v>
      </c>
      <c r="L193" s="2177">
        <v>580</v>
      </c>
      <c r="M193" s="2177">
        <v>580</v>
      </c>
      <c r="N193" s="3019">
        <v>0.40660921848225862</v>
      </c>
      <c r="O193" s="3019">
        <v>8.785132326309128E-2</v>
      </c>
      <c r="P193" s="3019">
        <v>0.50553945825465008</v>
      </c>
      <c r="Q193" s="3020" t="s">
        <v>2328</v>
      </c>
      <c r="R193" s="2180">
        <f t="shared" si="39"/>
        <v>6.0068419955868521E-2</v>
      </c>
      <c r="S193" s="828"/>
    </row>
    <row r="194" spans="2:19" ht="14.25" customHeight="1">
      <c r="B194" s="828"/>
      <c r="C194" s="828"/>
      <c r="D194" s="2182"/>
      <c r="E194" s="2169"/>
      <c r="F194" s="2172" t="s">
        <v>2704</v>
      </c>
      <c r="G194" s="828">
        <f>メイン!R51</f>
        <v>0</v>
      </c>
      <c r="H194" s="2183">
        <f>IF(G194&gt;0,I194,0)</f>
        <v>0</v>
      </c>
      <c r="I194" s="2177">
        <v>330</v>
      </c>
      <c r="J194" s="2177">
        <v>330</v>
      </c>
      <c r="K194" s="2177">
        <v>330</v>
      </c>
      <c r="L194" s="2177">
        <v>330</v>
      </c>
      <c r="M194" s="2177">
        <v>330</v>
      </c>
      <c r="N194" s="3019">
        <v>0.70611799443264323</v>
      </c>
      <c r="O194" s="3019">
        <v>0.22488944882084874</v>
      </c>
      <c r="P194" s="3019">
        <v>6.8992556746508032E-2</v>
      </c>
      <c r="Q194" s="3020" t="s">
        <v>2328</v>
      </c>
      <c r="R194" s="2180">
        <f t="shared" si="39"/>
        <v>5.2464752675727297E-2</v>
      </c>
      <c r="S194" s="828"/>
    </row>
    <row r="195" spans="2:19" ht="14.25" customHeight="1">
      <c r="B195" s="828"/>
      <c r="C195" s="828"/>
      <c r="D195" s="2182"/>
      <c r="E195" s="2158" t="s">
        <v>2314</v>
      </c>
      <c r="F195" s="2176"/>
      <c r="G195" s="828">
        <f>メイン!R52</f>
        <v>0</v>
      </c>
      <c r="H195" s="828">
        <f t="shared" ref="H195:H205" si="40">IF(G195=0,0,IF(G195&lt;$I$188,I195,IF(G195&lt;$J$188,J195,IF(G195&lt;$K$188,K195,IF(G195&lt;$L$188,L195,M195)))))</f>
        <v>0</v>
      </c>
      <c r="I195" s="2177">
        <v>390</v>
      </c>
      <c r="J195" s="2177">
        <v>390</v>
      </c>
      <c r="K195" s="2177">
        <v>390</v>
      </c>
      <c r="L195" s="2177">
        <v>350</v>
      </c>
      <c r="M195" s="2177">
        <v>230</v>
      </c>
      <c r="N195" s="3019">
        <v>0.73</v>
      </c>
      <c r="O195" s="3019">
        <v>7.0000000000000007E-2</v>
      </c>
      <c r="P195" s="3019">
        <v>0.2</v>
      </c>
      <c r="Q195" s="3020" t="s">
        <v>2328</v>
      </c>
      <c r="R195" s="2180">
        <f t="shared" si="39"/>
        <v>5.4967516393442627E-2</v>
      </c>
      <c r="S195" s="828"/>
    </row>
    <row r="196" spans="2:19" ht="14.25" customHeight="1">
      <c r="B196" s="828"/>
      <c r="C196" s="828"/>
      <c r="D196" s="2181"/>
      <c r="E196" s="2158" t="s">
        <v>2315</v>
      </c>
      <c r="F196" s="2176"/>
      <c r="G196" s="828">
        <f>メイン!R53</f>
        <v>0</v>
      </c>
      <c r="H196" s="828">
        <f t="shared" si="40"/>
        <v>0</v>
      </c>
      <c r="I196" s="2177">
        <v>840</v>
      </c>
      <c r="J196" s="2177">
        <v>840</v>
      </c>
      <c r="K196" s="2177">
        <v>840</v>
      </c>
      <c r="L196" s="2177">
        <v>870</v>
      </c>
      <c r="M196" s="2177">
        <v>1110</v>
      </c>
      <c r="N196" s="3019">
        <v>0.75</v>
      </c>
      <c r="O196" s="3019">
        <v>0.15</v>
      </c>
      <c r="P196" s="3019">
        <v>0.1</v>
      </c>
      <c r="Q196" s="3020" t="s">
        <v>2328</v>
      </c>
      <c r="R196" s="2180">
        <f t="shared" si="39"/>
        <v>5.3131352459016394E-2</v>
      </c>
      <c r="S196" s="828"/>
    </row>
    <row r="197" spans="2:19" ht="14.25" customHeight="1">
      <c r="B197" s="828"/>
      <c r="C197" s="828"/>
      <c r="D197" s="2175" t="s">
        <v>2307</v>
      </c>
      <c r="E197" s="2158" t="s">
        <v>1971</v>
      </c>
      <c r="F197" s="2176"/>
      <c r="G197" s="828">
        <f>メイン!R54</f>
        <v>0</v>
      </c>
      <c r="H197" s="828">
        <f t="shared" si="40"/>
        <v>0</v>
      </c>
      <c r="I197" s="2177">
        <v>7270</v>
      </c>
      <c r="J197" s="2177">
        <v>7270</v>
      </c>
      <c r="K197" s="2177">
        <v>5010</v>
      </c>
      <c r="L197" s="2177">
        <v>3150</v>
      </c>
      <c r="M197" s="2177">
        <v>3150</v>
      </c>
      <c r="N197" s="3019">
        <v>0.92</v>
      </c>
      <c r="O197" s="3019">
        <v>0.04</v>
      </c>
      <c r="P197" s="3019">
        <v>3.9999999999999959E-2</v>
      </c>
      <c r="Q197" s="3020" t="s">
        <v>2328</v>
      </c>
      <c r="R197" s="2180">
        <f t="shared" si="39"/>
        <v>5.2336459016393444E-2</v>
      </c>
      <c r="S197" s="828"/>
    </row>
    <row r="198" spans="2:19" ht="14.25" customHeight="1">
      <c r="B198" s="828"/>
      <c r="C198" s="828"/>
      <c r="D198" s="2181"/>
      <c r="E198" s="2158" t="s">
        <v>2308</v>
      </c>
      <c r="F198" s="2176"/>
      <c r="G198" s="828">
        <f>メイン!R55</f>
        <v>0</v>
      </c>
      <c r="H198" s="828">
        <f t="shared" si="40"/>
        <v>0</v>
      </c>
      <c r="I198" s="2177">
        <v>2290</v>
      </c>
      <c r="J198" s="2177">
        <v>2290</v>
      </c>
      <c r="K198" s="2177">
        <v>2290</v>
      </c>
      <c r="L198" s="2177">
        <v>2290</v>
      </c>
      <c r="M198" s="2177">
        <v>2290</v>
      </c>
      <c r="N198" s="3019">
        <v>0.93</v>
      </c>
      <c r="O198" s="3019">
        <v>0.04</v>
      </c>
      <c r="P198" s="3019">
        <v>2.999999999999995E-2</v>
      </c>
      <c r="Q198" s="3020" t="s">
        <v>2328</v>
      </c>
      <c r="R198" s="2180">
        <f t="shared" si="39"/>
        <v>5.2168377049180328E-2</v>
      </c>
      <c r="S198" s="828"/>
    </row>
    <row r="199" spans="2:19" ht="14.25" customHeight="1">
      <c r="B199" s="828"/>
      <c r="C199" s="828"/>
      <c r="D199" s="2158" t="s">
        <v>468</v>
      </c>
      <c r="E199" s="2159"/>
      <c r="F199" s="2176"/>
      <c r="G199" s="828">
        <f>メイン!R56</f>
        <v>0</v>
      </c>
      <c r="H199" s="828">
        <f t="shared" si="40"/>
        <v>0</v>
      </c>
      <c r="I199" s="2177">
        <v>3150</v>
      </c>
      <c r="J199" s="2177">
        <v>3150</v>
      </c>
      <c r="K199" s="2177">
        <v>3150</v>
      </c>
      <c r="L199" s="2177">
        <v>3150</v>
      </c>
      <c r="M199" s="2177">
        <v>3150</v>
      </c>
      <c r="N199" s="3019">
        <v>0.49</v>
      </c>
      <c r="O199" s="3019">
        <v>0.38</v>
      </c>
      <c r="P199" s="3019">
        <v>0.13</v>
      </c>
      <c r="Q199" s="3020" t="s">
        <v>2328</v>
      </c>
      <c r="R199" s="2180">
        <f t="shared" si="39"/>
        <v>5.3188983606557383E-2</v>
      </c>
      <c r="S199" s="828"/>
    </row>
    <row r="200" spans="2:19" ht="14.25" customHeight="1">
      <c r="B200" s="828"/>
      <c r="C200" s="828"/>
      <c r="D200" s="2175" t="s">
        <v>2316</v>
      </c>
      <c r="E200" s="2158" t="s">
        <v>2317</v>
      </c>
      <c r="F200" s="2176"/>
      <c r="G200" s="828">
        <f>メイン!R57</f>
        <v>0</v>
      </c>
      <c r="H200" s="828">
        <f t="shared" si="40"/>
        <v>0</v>
      </c>
      <c r="I200" s="2177">
        <v>980</v>
      </c>
      <c r="J200" s="2177">
        <v>980</v>
      </c>
      <c r="K200" s="2177">
        <v>980</v>
      </c>
      <c r="L200" s="2177">
        <v>1390</v>
      </c>
      <c r="M200" s="2177">
        <v>1390</v>
      </c>
      <c r="N200" s="3019">
        <v>0.76</v>
      </c>
      <c r="O200" s="3019">
        <v>0.17</v>
      </c>
      <c r="P200" s="3019">
        <v>6.9999999999999979E-2</v>
      </c>
      <c r="Q200" s="3020" t="s">
        <v>2328</v>
      </c>
      <c r="R200" s="2180">
        <f t="shared" si="39"/>
        <v>5.2588270491803278E-2</v>
      </c>
      <c r="S200" s="828"/>
    </row>
    <row r="201" spans="2:19" ht="14.25" customHeight="1">
      <c r="B201" s="828"/>
      <c r="C201" s="828"/>
      <c r="D201" s="2182"/>
      <c r="E201" s="2158" t="s">
        <v>2318</v>
      </c>
      <c r="F201" s="2176"/>
      <c r="G201" s="828">
        <f>メイン!R58</f>
        <v>0</v>
      </c>
      <c r="H201" s="828">
        <f t="shared" si="40"/>
        <v>0</v>
      </c>
      <c r="I201" s="2177">
        <v>1080</v>
      </c>
      <c r="J201" s="2177">
        <v>1080</v>
      </c>
      <c r="K201" s="2177">
        <v>1080</v>
      </c>
      <c r="L201" s="2177">
        <v>1370</v>
      </c>
      <c r="M201" s="2177">
        <v>1370</v>
      </c>
      <c r="N201" s="3019">
        <v>0.81</v>
      </c>
      <c r="O201" s="3019">
        <v>0.09</v>
      </c>
      <c r="P201" s="3019">
        <v>9.999999999999995E-2</v>
      </c>
      <c r="Q201" s="3020" t="s">
        <v>2328</v>
      </c>
      <c r="R201" s="2180">
        <f t="shared" si="39"/>
        <v>5.3247860655737708E-2</v>
      </c>
      <c r="S201" s="828"/>
    </row>
    <row r="202" spans="2:19" ht="14.25" customHeight="1">
      <c r="B202" s="828"/>
      <c r="C202" s="828"/>
      <c r="D202" s="2182"/>
      <c r="E202" s="2151" t="s">
        <v>2319</v>
      </c>
      <c r="F202" s="2153"/>
      <c r="G202" s="828">
        <f>メイン!R59</f>
        <v>0</v>
      </c>
      <c r="H202" s="828">
        <f t="shared" si="40"/>
        <v>0</v>
      </c>
      <c r="I202" s="2177">
        <v>1990</v>
      </c>
      <c r="J202" s="2177">
        <v>1990</v>
      </c>
      <c r="K202" s="2177">
        <v>1990</v>
      </c>
      <c r="L202" s="2177">
        <v>1400</v>
      </c>
      <c r="M202" s="2177">
        <v>1400</v>
      </c>
      <c r="N202" s="3019">
        <v>0.61</v>
      </c>
      <c r="O202" s="3019">
        <v>0.27</v>
      </c>
      <c r="P202" s="3019">
        <v>0.12</v>
      </c>
      <c r="Q202" s="3020" t="s">
        <v>2328</v>
      </c>
      <c r="R202" s="2180">
        <f t="shared" si="39"/>
        <v>5.3234499999999997E-2</v>
      </c>
      <c r="S202" s="828"/>
    </row>
    <row r="203" spans="2:19" ht="14.25" customHeight="1">
      <c r="B203" s="828"/>
      <c r="C203" s="828"/>
      <c r="D203" s="2158" t="s">
        <v>478</v>
      </c>
      <c r="E203" s="2159"/>
      <c r="F203" s="2176"/>
      <c r="G203" s="828">
        <f>メイン!R60</f>
        <v>0</v>
      </c>
      <c r="H203" s="828">
        <f t="shared" si="40"/>
        <v>0</v>
      </c>
      <c r="I203" s="2177">
        <v>500</v>
      </c>
      <c r="J203" s="2177">
        <v>500</v>
      </c>
      <c r="K203" s="2177">
        <v>500</v>
      </c>
      <c r="L203" s="2177">
        <v>500</v>
      </c>
      <c r="M203" s="2177">
        <v>500</v>
      </c>
      <c r="N203" s="3019">
        <v>1</v>
      </c>
      <c r="O203" s="3019">
        <v>0</v>
      </c>
      <c r="P203" s="3019">
        <v>0</v>
      </c>
      <c r="Q203" s="3020" t="s">
        <v>2328</v>
      </c>
      <c r="R203" s="2180">
        <f t="shared" si="39"/>
        <v>5.1741803278688527E-2</v>
      </c>
      <c r="S203" s="828"/>
    </row>
    <row r="204" spans="2:19" ht="14.25" customHeight="1">
      <c r="B204" s="828"/>
      <c r="C204" s="828"/>
      <c r="D204" s="2158" t="s">
        <v>472</v>
      </c>
      <c r="E204" s="2159"/>
      <c r="F204" s="2176"/>
      <c r="G204" s="828">
        <f>メイン!R61</f>
        <v>0</v>
      </c>
      <c r="H204" s="828">
        <f t="shared" si="40"/>
        <v>0</v>
      </c>
      <c r="I204" s="2177">
        <v>2200</v>
      </c>
      <c r="J204" s="2177">
        <v>2200</v>
      </c>
      <c r="K204" s="2177">
        <v>2200</v>
      </c>
      <c r="L204" s="2177">
        <v>2480</v>
      </c>
      <c r="M204" s="2177">
        <v>2990</v>
      </c>
      <c r="N204" s="3019">
        <v>0.56000000000000005</v>
      </c>
      <c r="O204" s="3019">
        <v>0.19</v>
      </c>
      <c r="P204" s="3019">
        <v>0.24999999999999994</v>
      </c>
      <c r="Q204" s="3020" t="s">
        <v>2328</v>
      </c>
      <c r="R204" s="2180">
        <f t="shared" si="39"/>
        <v>5.557490983606557E-2</v>
      </c>
      <c r="S204" s="828"/>
    </row>
    <row r="205" spans="2:19">
      <c r="B205" s="828"/>
      <c r="C205" s="828"/>
      <c r="D205" s="2158" t="s">
        <v>2309</v>
      </c>
      <c r="E205" s="2159"/>
      <c r="F205" s="2176"/>
      <c r="G205" s="828">
        <f>メイン!R62</f>
        <v>0</v>
      </c>
      <c r="H205" s="828">
        <f t="shared" si="40"/>
        <v>0</v>
      </c>
      <c r="I205" s="2177">
        <v>2450</v>
      </c>
      <c r="J205" s="2177">
        <v>2450</v>
      </c>
      <c r="K205" s="2177">
        <v>2450</v>
      </c>
      <c r="L205" s="2177">
        <v>2750</v>
      </c>
      <c r="M205" s="2177">
        <v>2830</v>
      </c>
      <c r="N205" s="3019">
        <v>0.56000000000000005</v>
      </c>
      <c r="O205" s="3019">
        <v>0.2</v>
      </c>
      <c r="P205" s="3019">
        <v>0.23999999999999994</v>
      </c>
      <c r="Q205" s="3020" t="s">
        <v>2328</v>
      </c>
      <c r="R205" s="2180">
        <f t="shared" si="39"/>
        <v>5.5387409836065576E-2</v>
      </c>
      <c r="S205" s="828"/>
    </row>
    <row r="206" spans="2:19" hidden="1">
      <c r="B206" s="828"/>
      <c r="C206" s="828"/>
      <c r="D206" s="2162"/>
      <c r="E206" s="2170"/>
      <c r="F206" s="2171"/>
      <c r="G206" s="828">
        <f>メイン!R63</f>
        <v>0</v>
      </c>
      <c r="H206" s="828">
        <f>IF(G206&gt;=$I$188,I206,IF(G206&gt;=$J$188,J206,IF(G206&gt;=$K$188,K206,IF(G206&gt;=$L$188,L206,IF(G206&gt;=$M$188,M206,0)))))</f>
        <v>0</v>
      </c>
      <c r="I206" s="2177"/>
      <c r="J206" s="2177"/>
      <c r="K206" s="2177"/>
      <c r="L206" s="2177"/>
      <c r="M206" s="2177"/>
      <c r="N206" s="3021">
        <f>I96</f>
        <v>5.1741803278688527E-2</v>
      </c>
      <c r="O206" s="3022">
        <f>I97</f>
        <v>4.9799999999999997E-2</v>
      </c>
      <c r="P206" s="3022">
        <f>I99</f>
        <v>6.7799999999999999E-2</v>
      </c>
      <c r="Q206" s="3023">
        <f>I102</f>
        <v>5.8999999999999997E-2</v>
      </c>
      <c r="R206" s="2154"/>
      <c r="S206" s="828"/>
    </row>
    <row r="207" spans="2:19">
      <c r="B207" s="828"/>
      <c r="C207" s="828"/>
      <c r="D207" s="2168" t="s">
        <v>2089</v>
      </c>
      <c r="E207" s="2184" t="s">
        <v>2340</v>
      </c>
      <c r="F207" s="2185"/>
      <c r="G207" s="828"/>
      <c r="H207" s="828" t="str">
        <f>IF(G207&gt;=$I$188,I207,IF(G207&gt;=$J$188,J207,IF(G207&gt;=$K$188,K207,IF(G207&gt;=$L$188,L207,IF(G207&gt;=$M$188,M207,0)))))</f>
        <v>-</v>
      </c>
      <c r="I207" s="2241" t="s">
        <v>2328</v>
      </c>
      <c r="J207" s="2241" t="s">
        <v>2328</v>
      </c>
      <c r="K207" s="2241" t="s">
        <v>2328</v>
      </c>
      <c r="L207" s="2241" t="s">
        <v>2328</v>
      </c>
      <c r="M207" s="2241" t="s">
        <v>2328</v>
      </c>
      <c r="N207" s="3019">
        <v>0.51</v>
      </c>
      <c r="O207" s="3019">
        <v>0.20399999999999999</v>
      </c>
      <c r="P207" s="3019">
        <v>0.16700000000000001</v>
      </c>
      <c r="Q207" s="3019">
        <v>0.11</v>
      </c>
      <c r="R207" s="2180">
        <f>SUMPRODUCT(N207:Q207,$N$206:$Q$206)</f>
        <v>5.4360119672131155E-2</v>
      </c>
      <c r="S207" s="828"/>
    </row>
    <row r="208" spans="2:19">
      <c r="B208" s="828"/>
      <c r="C208" s="828"/>
      <c r="D208" s="2186"/>
      <c r="E208" s="2187" t="s">
        <v>483</v>
      </c>
      <c r="F208" s="2188"/>
      <c r="G208" s="828"/>
      <c r="H208" s="828" t="str">
        <f>IF(G208&gt;=$I$188,I208,IF(G208&gt;=$J$188,J208,IF(G208&gt;=$K$188,K208,IF(G208&gt;=$L$188,L208,IF(G208&gt;=$M$188,M208,0)))))</f>
        <v>-</v>
      </c>
      <c r="I208" s="2241" t="s">
        <v>2328</v>
      </c>
      <c r="J208" s="2241" t="s">
        <v>2328</v>
      </c>
      <c r="K208" s="2241" t="s">
        <v>2328</v>
      </c>
      <c r="L208" s="2241" t="s">
        <v>2328</v>
      </c>
      <c r="M208" s="2241" t="s">
        <v>2328</v>
      </c>
      <c r="N208" s="2178">
        <v>1</v>
      </c>
      <c r="O208" s="2178">
        <v>0</v>
      </c>
      <c r="P208" s="2178">
        <v>0</v>
      </c>
      <c r="Q208" s="2179" t="s">
        <v>2328</v>
      </c>
      <c r="R208" s="2180">
        <f>SUMPRODUCT(N208:P208,$N$188:$P$188)</f>
        <v>5.1741803278688527E-2</v>
      </c>
      <c r="S208" s="828"/>
    </row>
    <row r="209" spans="2:27" s="2385" customFormat="1" hidden="1">
      <c r="B209" s="828"/>
      <c r="C209" s="828"/>
      <c r="D209" s="2190" t="s">
        <v>2341</v>
      </c>
      <c r="E209" s="2416"/>
      <c r="F209" s="2188"/>
      <c r="G209" s="828"/>
      <c r="H209" s="828"/>
      <c r="I209" s="2241" t="s">
        <v>2328</v>
      </c>
      <c r="J209" s="2241" t="s">
        <v>2328</v>
      </c>
      <c r="K209" s="2241" t="s">
        <v>2328</v>
      </c>
      <c r="L209" s="2241" t="s">
        <v>2328</v>
      </c>
      <c r="M209" s="2241" t="s">
        <v>2328</v>
      </c>
      <c r="N209" s="2178"/>
      <c r="O209" s="2178"/>
      <c r="P209" s="2178"/>
      <c r="Q209" s="2179" t="s">
        <v>2328</v>
      </c>
      <c r="R209" s="2180">
        <f>SUMPRODUCT(N209:Q209,$N$188:$Q$188)</f>
        <v>0</v>
      </c>
      <c r="S209" s="828"/>
    </row>
    <row r="210" spans="2:27">
      <c r="B210" s="828"/>
      <c r="C210" s="828"/>
      <c r="D210" s="2219" t="s">
        <v>1010</v>
      </c>
      <c r="E210" s="2189" t="s">
        <v>3341</v>
      </c>
      <c r="F210" s="828"/>
      <c r="G210" s="828"/>
      <c r="H210" s="828"/>
      <c r="I210" s="828"/>
      <c r="J210" s="828"/>
      <c r="K210" s="828"/>
      <c r="L210" s="828"/>
      <c r="M210" s="828"/>
      <c r="N210" s="828"/>
      <c r="O210" s="828"/>
      <c r="P210" s="2189" t="s">
        <v>2329</v>
      </c>
      <c r="Q210" s="828"/>
      <c r="R210" s="828"/>
      <c r="S210" s="828"/>
    </row>
    <row r="211" spans="2:27" ht="14.25" customHeight="1">
      <c r="B211" s="828"/>
      <c r="C211" s="828"/>
      <c r="D211" s="828"/>
      <c r="E211" s="2189" t="s">
        <v>3381</v>
      </c>
      <c r="F211" s="828"/>
      <c r="G211" s="828"/>
      <c r="H211" s="828"/>
      <c r="I211" s="828"/>
      <c r="J211" s="828"/>
      <c r="K211" s="828"/>
      <c r="L211" s="828"/>
      <c r="M211" s="828"/>
      <c r="N211" s="828"/>
      <c r="O211" s="828"/>
      <c r="P211" s="2189"/>
      <c r="Q211" s="828"/>
      <c r="R211" s="828"/>
      <c r="S211" s="828"/>
    </row>
    <row r="212" spans="2:27" ht="14.25" customHeight="1">
      <c r="B212" s="828"/>
      <c r="C212" s="828"/>
      <c r="D212" s="828"/>
      <c r="E212" s="2857" t="s">
        <v>3382</v>
      </c>
      <c r="F212" s="828"/>
      <c r="G212" s="828"/>
      <c r="H212" s="828"/>
      <c r="I212" s="828"/>
      <c r="J212" s="828"/>
      <c r="K212" s="828"/>
      <c r="L212" s="828"/>
      <c r="M212" s="828"/>
      <c r="N212" s="828"/>
      <c r="O212" s="828"/>
      <c r="P212" s="2189"/>
      <c r="Q212" s="828"/>
      <c r="R212" s="828"/>
      <c r="S212" s="828"/>
    </row>
    <row r="213" spans="2:27" ht="6.75" customHeight="1">
      <c r="B213" s="828"/>
      <c r="C213" s="828"/>
      <c r="D213" s="828"/>
      <c r="E213" s="828"/>
      <c r="F213" s="828"/>
      <c r="G213" s="828"/>
      <c r="H213" s="828"/>
      <c r="I213" s="828"/>
      <c r="J213" s="828"/>
      <c r="K213" s="828"/>
      <c r="L213" s="828"/>
      <c r="M213" s="828"/>
      <c r="N213" s="828"/>
      <c r="O213" s="828"/>
      <c r="P213" s="828"/>
      <c r="Q213" s="828"/>
      <c r="R213" s="828"/>
      <c r="S213" s="828"/>
    </row>
    <row r="214" spans="2:27" ht="14.25" customHeight="1">
      <c r="B214" s="828"/>
      <c r="C214" s="828"/>
      <c r="D214" s="2236" t="s">
        <v>3519</v>
      </c>
      <c r="E214" s="828"/>
      <c r="F214" s="828"/>
      <c r="G214" s="828"/>
      <c r="H214" s="828"/>
      <c r="I214" s="828"/>
      <c r="J214" s="828"/>
      <c r="K214" s="828"/>
      <c r="L214" s="828"/>
      <c r="M214" s="828"/>
      <c r="N214" s="2231"/>
      <c r="O214" s="828"/>
      <c r="P214" s="828"/>
      <c r="Q214" s="2219" t="s">
        <v>2914</v>
      </c>
      <c r="R214" s="828"/>
      <c r="S214" s="828"/>
    </row>
    <row r="215" spans="2:27" ht="14.25" customHeight="1">
      <c r="B215" s="828"/>
      <c r="C215" s="828"/>
      <c r="D215" s="2190" t="s">
        <v>2330</v>
      </c>
      <c r="E215" s="2191"/>
      <c r="F215" s="2161" t="s">
        <v>3492</v>
      </c>
      <c r="G215" s="828"/>
      <c r="H215" s="828"/>
      <c r="I215" s="2154" t="s">
        <v>2341</v>
      </c>
      <c r="J215" s="2190" t="s">
        <v>2331</v>
      </c>
      <c r="K215" s="2191"/>
      <c r="L215" s="2191"/>
      <c r="M215" s="2191"/>
      <c r="N215" s="2191"/>
      <c r="O215" s="2191"/>
      <c r="P215" s="2200" t="s">
        <v>3520</v>
      </c>
      <c r="Q215" s="2160"/>
      <c r="R215" s="828"/>
      <c r="T215" s="2243" t="s">
        <v>2932</v>
      </c>
      <c r="U215" s="2242"/>
      <c r="V215" s="2242"/>
      <c r="W215" s="2242"/>
      <c r="X215" s="2242"/>
      <c r="Y215" s="2242"/>
      <c r="Z215" s="2242"/>
      <c r="AA215" s="2242"/>
    </row>
    <row r="216" spans="2:27" ht="14.25" customHeight="1">
      <c r="B216" s="828"/>
      <c r="C216" s="828"/>
      <c r="D216" s="2154" t="s">
        <v>2332</v>
      </c>
      <c r="E216" s="2154" t="s">
        <v>2333</v>
      </c>
      <c r="F216" s="2168" t="s">
        <v>1352</v>
      </c>
      <c r="G216" s="828"/>
      <c r="H216" s="828">
        <v>1</v>
      </c>
      <c r="I216" s="2161" t="e">
        <f>メイン!K19</f>
        <v>#N/A</v>
      </c>
      <c r="J216" s="2154">
        <v>1</v>
      </c>
      <c r="K216" s="2154">
        <v>2</v>
      </c>
      <c r="L216" s="2154">
        <v>3</v>
      </c>
      <c r="M216" s="2154">
        <v>4</v>
      </c>
      <c r="N216" s="2154">
        <v>5</v>
      </c>
      <c r="O216" s="2154">
        <v>6</v>
      </c>
      <c r="P216" s="2154">
        <v>7</v>
      </c>
      <c r="Q216" s="2154">
        <v>8</v>
      </c>
      <c r="R216" s="828"/>
      <c r="T216" s="2244">
        <v>1</v>
      </c>
      <c r="U216" s="2244">
        <v>2</v>
      </c>
      <c r="V216" s="2244">
        <v>3</v>
      </c>
      <c r="W216" s="2244">
        <v>4</v>
      </c>
      <c r="X216" s="2244">
        <v>5</v>
      </c>
      <c r="Y216" s="2244">
        <v>6</v>
      </c>
      <c r="Z216" s="2244">
        <v>7</v>
      </c>
      <c r="AA216" s="2244">
        <v>8</v>
      </c>
    </row>
    <row r="217" spans="2:27" ht="14.25" customHeight="1">
      <c r="B217" s="828"/>
      <c r="C217" s="828"/>
      <c r="D217" s="2168"/>
      <c r="E217" s="2235"/>
      <c r="F217" s="2154" t="s">
        <v>2396</v>
      </c>
      <c r="G217" s="2154" t="s">
        <v>2915</v>
      </c>
      <c r="H217" s="2154">
        <v>2</v>
      </c>
      <c r="I217" s="2192" t="e">
        <f>HLOOKUP($I$216,$J$216:$Q$234,H217)</f>
        <v>#N/A</v>
      </c>
      <c r="J217" s="2192">
        <v>1510</v>
      </c>
      <c r="K217" s="2192">
        <v>1315</v>
      </c>
      <c r="L217" s="2192">
        <v>1134</v>
      </c>
      <c r="M217" s="2192">
        <v>1316</v>
      </c>
      <c r="N217" s="2192">
        <v>1190</v>
      </c>
      <c r="O217" s="2192">
        <v>1119</v>
      </c>
      <c r="P217" s="2192">
        <v>985</v>
      </c>
      <c r="Q217" s="2192">
        <v>937</v>
      </c>
      <c r="R217" s="828"/>
      <c r="T217" s="2245">
        <f t="shared" ref="T217:AA217" si="41">MAX(J217:J234)</f>
        <v>1777</v>
      </c>
      <c r="U217" s="2245">
        <f t="shared" si="41"/>
        <v>1542</v>
      </c>
      <c r="V217" s="2245">
        <f t="shared" si="41"/>
        <v>1325</v>
      </c>
      <c r="W217" s="2245">
        <f t="shared" si="41"/>
        <v>1543</v>
      </c>
      <c r="X217" s="2245">
        <f t="shared" si="41"/>
        <v>1393</v>
      </c>
      <c r="Y217" s="2245">
        <f t="shared" si="41"/>
        <v>1308</v>
      </c>
      <c r="Z217" s="2245">
        <f t="shared" si="41"/>
        <v>1147</v>
      </c>
      <c r="AA217" s="2245">
        <f t="shared" si="41"/>
        <v>1089</v>
      </c>
    </row>
    <row r="218" spans="2:27" ht="14.25" customHeight="1">
      <c r="B218" s="828"/>
      <c r="C218" s="828"/>
      <c r="D218" s="2168" t="s">
        <v>2336</v>
      </c>
      <c r="E218" s="828" t="s">
        <v>2334</v>
      </c>
      <c r="F218" s="2154" t="s">
        <v>2335</v>
      </c>
      <c r="G218" s="2154" t="s">
        <v>1353</v>
      </c>
      <c r="H218" s="2154">
        <v>3</v>
      </c>
      <c r="I218" s="2192" t="e">
        <f t="shared" ref="I218:I233" si="42">HLOOKUP($I$216,$J$216:$Q$234,H218)</f>
        <v>#N/A</v>
      </c>
      <c r="J218" s="2192">
        <v>1777</v>
      </c>
      <c r="K218" s="2192">
        <v>1542</v>
      </c>
      <c r="L218" s="2192">
        <v>1325</v>
      </c>
      <c r="M218" s="2192">
        <v>1543</v>
      </c>
      <c r="N218" s="2192">
        <v>1393</v>
      </c>
      <c r="O218" s="2192">
        <v>1308</v>
      </c>
      <c r="P218" s="2192">
        <v>1147</v>
      </c>
      <c r="Q218" s="2192">
        <v>1089</v>
      </c>
      <c r="R218" s="828"/>
      <c r="T218" s="2246">
        <f>J217</f>
        <v>1510</v>
      </c>
      <c r="U218" s="2246">
        <f>K217</f>
        <v>1315</v>
      </c>
      <c r="V218" s="2246">
        <f>L223</f>
        <v>1069</v>
      </c>
      <c r="W218" s="2246">
        <f>M223</f>
        <v>1218</v>
      </c>
      <c r="X218" s="2246">
        <f>N223</f>
        <v>1080</v>
      </c>
      <c r="Y218" s="2246">
        <f>O223</f>
        <v>1081</v>
      </c>
      <c r="Z218" s="2246">
        <f>P223</f>
        <v>965</v>
      </c>
      <c r="AA218" s="2246">
        <f>Q217</f>
        <v>937</v>
      </c>
    </row>
    <row r="219" spans="2:27" ht="14.25" customHeight="1">
      <c r="B219" s="828"/>
      <c r="C219" s="828"/>
      <c r="D219" s="2168"/>
      <c r="E219" s="828"/>
      <c r="F219" s="2154" t="s">
        <v>3160</v>
      </c>
      <c r="G219" s="2154" t="s">
        <v>3161</v>
      </c>
      <c r="H219" s="828">
        <v>4</v>
      </c>
      <c r="I219" s="2192" t="e">
        <f t="shared" si="42"/>
        <v>#N/A</v>
      </c>
      <c r="J219" s="2192">
        <v>1510</v>
      </c>
      <c r="K219" s="2192">
        <v>1315</v>
      </c>
      <c r="L219" s="2192">
        <v>1134</v>
      </c>
      <c r="M219" s="2192">
        <v>1316</v>
      </c>
      <c r="N219" s="2192">
        <v>1190</v>
      </c>
      <c r="O219" s="2192">
        <v>1119</v>
      </c>
      <c r="P219" s="2192">
        <v>985</v>
      </c>
      <c r="Q219" s="2192">
        <v>937</v>
      </c>
      <c r="R219" s="828"/>
      <c r="S219" s="828"/>
    </row>
    <row r="220" spans="2:27" ht="14.25" customHeight="1">
      <c r="B220" s="828"/>
      <c r="C220" s="828"/>
      <c r="D220" s="2237"/>
      <c r="E220" s="2161"/>
      <c r="F220" s="2160" t="s">
        <v>2396</v>
      </c>
      <c r="G220" s="2154" t="s">
        <v>2916</v>
      </c>
      <c r="H220" s="2154">
        <v>5</v>
      </c>
      <c r="I220" s="2192" t="e">
        <f t="shared" si="42"/>
        <v>#N/A</v>
      </c>
      <c r="J220" s="2192">
        <v>1492</v>
      </c>
      <c r="K220" s="2192">
        <v>1299</v>
      </c>
      <c r="L220" s="2192">
        <v>1096</v>
      </c>
      <c r="M220" s="2192">
        <v>1242</v>
      </c>
      <c r="N220" s="2192">
        <v>1109</v>
      </c>
      <c r="O220" s="2192">
        <v>926</v>
      </c>
      <c r="P220" s="2192">
        <v>740</v>
      </c>
      <c r="Q220" s="2192">
        <v>525</v>
      </c>
      <c r="R220" s="828"/>
      <c r="S220" s="828"/>
    </row>
    <row r="221" spans="2:27" ht="14.25" customHeight="1">
      <c r="B221" s="828"/>
      <c r="C221" s="828"/>
      <c r="D221" s="2238" t="s">
        <v>2336</v>
      </c>
      <c r="E221" s="2168" t="s">
        <v>2337</v>
      </c>
      <c r="F221" s="2160" t="s">
        <v>2335</v>
      </c>
      <c r="G221" s="2154" t="s">
        <v>1354</v>
      </c>
      <c r="H221" s="2154">
        <v>6</v>
      </c>
      <c r="I221" s="2192" t="e">
        <f t="shared" si="42"/>
        <v>#N/A</v>
      </c>
      <c r="J221" s="2192">
        <v>1755</v>
      </c>
      <c r="K221" s="2192">
        <v>1523</v>
      </c>
      <c r="L221" s="2192">
        <v>1279</v>
      </c>
      <c r="M221" s="2192">
        <v>1455</v>
      </c>
      <c r="N221" s="2192">
        <v>1295</v>
      </c>
      <c r="O221" s="2192">
        <v>1076</v>
      </c>
      <c r="P221" s="2192">
        <v>852</v>
      </c>
      <c r="Q221" s="2192">
        <v>595</v>
      </c>
      <c r="R221" s="828"/>
      <c r="S221" s="828"/>
    </row>
    <row r="222" spans="2:27" ht="14.25" customHeight="1">
      <c r="B222" s="828"/>
      <c r="C222" s="828"/>
      <c r="D222" s="2239"/>
      <c r="E222" s="2186"/>
      <c r="F222" s="2154" t="s">
        <v>3160</v>
      </c>
      <c r="G222" s="2154" t="s">
        <v>3162</v>
      </c>
      <c r="H222" s="828">
        <v>7</v>
      </c>
      <c r="I222" s="2192" t="e">
        <f t="shared" si="42"/>
        <v>#N/A</v>
      </c>
      <c r="J222" s="2192">
        <v>1492</v>
      </c>
      <c r="K222" s="2192">
        <v>1299</v>
      </c>
      <c r="L222" s="2192">
        <v>1096</v>
      </c>
      <c r="M222" s="2192">
        <v>1242</v>
      </c>
      <c r="N222" s="2192">
        <v>1109</v>
      </c>
      <c r="O222" s="2192">
        <v>926</v>
      </c>
      <c r="P222" s="2192">
        <v>740</v>
      </c>
      <c r="Q222" s="2192">
        <v>525</v>
      </c>
      <c r="R222" s="828"/>
      <c r="S222" s="828"/>
    </row>
    <row r="223" spans="2:27" ht="14.25" customHeight="1">
      <c r="B223" s="828"/>
      <c r="C223" s="828"/>
      <c r="D223" s="2161"/>
      <c r="E223" s="2161"/>
      <c r="F223" s="2154" t="s">
        <v>2396</v>
      </c>
      <c r="G223" s="2154" t="s">
        <v>2917</v>
      </c>
      <c r="H223" s="2154">
        <v>8</v>
      </c>
      <c r="I223" s="2192" t="e">
        <f t="shared" si="42"/>
        <v>#N/A</v>
      </c>
      <c r="J223" s="2192">
        <v>1252</v>
      </c>
      <c r="K223" s="2192">
        <v>1176</v>
      </c>
      <c r="L223" s="2192">
        <v>1069</v>
      </c>
      <c r="M223" s="2192">
        <v>1218</v>
      </c>
      <c r="N223" s="2192">
        <v>1080</v>
      </c>
      <c r="O223" s="2192">
        <v>1081</v>
      </c>
      <c r="P223" s="2192">
        <v>965</v>
      </c>
      <c r="Q223" s="2192">
        <v>937</v>
      </c>
      <c r="R223" s="828"/>
      <c r="S223" s="828"/>
    </row>
    <row r="224" spans="2:27" ht="14.25" customHeight="1">
      <c r="B224" s="828"/>
      <c r="C224" s="828"/>
      <c r="D224" s="2168" t="s">
        <v>2338</v>
      </c>
      <c r="E224" s="2168" t="s">
        <v>2334</v>
      </c>
      <c r="F224" s="2154" t="s">
        <v>2335</v>
      </c>
      <c r="G224" s="2154" t="s">
        <v>1355</v>
      </c>
      <c r="H224" s="2154">
        <v>9</v>
      </c>
      <c r="I224" s="2192" t="e">
        <f t="shared" si="42"/>
        <v>#N/A</v>
      </c>
      <c r="J224" s="2192">
        <v>1467</v>
      </c>
      <c r="K224" s="2192">
        <v>1376</v>
      </c>
      <c r="L224" s="2192">
        <v>1248</v>
      </c>
      <c r="M224" s="2192">
        <v>1426</v>
      </c>
      <c r="N224" s="2192">
        <v>1260</v>
      </c>
      <c r="O224" s="2192">
        <v>1261</v>
      </c>
      <c r="P224" s="2192">
        <v>1122</v>
      </c>
      <c r="Q224" s="2192">
        <v>1089</v>
      </c>
      <c r="R224" s="828"/>
      <c r="S224" s="828"/>
    </row>
    <row r="225" spans="2:19" ht="14.25" customHeight="1">
      <c r="B225" s="828"/>
      <c r="C225" s="828"/>
      <c r="D225" s="2168"/>
      <c r="E225" s="2168"/>
      <c r="F225" s="2154" t="s">
        <v>3160</v>
      </c>
      <c r="G225" s="2154" t="s">
        <v>3163</v>
      </c>
      <c r="H225" s="828">
        <v>10</v>
      </c>
      <c r="I225" s="2192" t="e">
        <f t="shared" si="42"/>
        <v>#N/A</v>
      </c>
      <c r="J225" s="2192">
        <v>1252</v>
      </c>
      <c r="K225" s="2192">
        <v>1176</v>
      </c>
      <c r="L225" s="2192">
        <v>1069</v>
      </c>
      <c r="M225" s="2192">
        <v>1218</v>
      </c>
      <c r="N225" s="2192">
        <v>1080</v>
      </c>
      <c r="O225" s="2192">
        <v>1081</v>
      </c>
      <c r="P225" s="2192">
        <v>965</v>
      </c>
      <c r="Q225" s="2192">
        <v>937</v>
      </c>
      <c r="R225" s="828"/>
      <c r="S225" s="828"/>
    </row>
    <row r="226" spans="2:19" ht="14.25" customHeight="1">
      <c r="B226" s="828"/>
      <c r="C226" s="828"/>
      <c r="D226" s="2237"/>
      <c r="E226" s="2161"/>
      <c r="F226" s="2160" t="s">
        <v>2396</v>
      </c>
      <c r="G226" s="2154" t="s">
        <v>2918</v>
      </c>
      <c r="H226" s="2154">
        <v>11</v>
      </c>
      <c r="I226" s="2192" t="e">
        <f t="shared" si="42"/>
        <v>#N/A</v>
      </c>
      <c r="J226" s="2192">
        <v>1233</v>
      </c>
      <c r="K226" s="2192">
        <v>1160</v>
      </c>
      <c r="L226" s="2192">
        <v>1031</v>
      </c>
      <c r="M226" s="2192">
        <v>1144</v>
      </c>
      <c r="N226" s="2192">
        <v>998</v>
      </c>
      <c r="O226" s="2192">
        <v>887</v>
      </c>
      <c r="P226" s="2192">
        <v>720</v>
      </c>
      <c r="Q226" s="2192">
        <v>525</v>
      </c>
      <c r="R226" s="828"/>
      <c r="S226" s="828"/>
    </row>
    <row r="227" spans="2:19" ht="14.25" customHeight="1">
      <c r="B227" s="828"/>
      <c r="C227" s="828"/>
      <c r="D227" s="2238" t="s">
        <v>2338</v>
      </c>
      <c r="E227" s="2168" t="s">
        <v>2337</v>
      </c>
      <c r="F227" s="2160" t="s">
        <v>2335</v>
      </c>
      <c r="G227" s="2154" t="s">
        <v>1356</v>
      </c>
      <c r="H227" s="2154">
        <v>12</v>
      </c>
      <c r="I227" s="2192" t="e">
        <f t="shared" si="42"/>
        <v>#N/A</v>
      </c>
      <c r="J227" s="2192">
        <v>1444</v>
      </c>
      <c r="K227" s="2192">
        <v>1357</v>
      </c>
      <c r="L227" s="2192">
        <v>1202</v>
      </c>
      <c r="M227" s="2192">
        <v>1338</v>
      </c>
      <c r="N227" s="2192">
        <v>1163</v>
      </c>
      <c r="O227" s="2192">
        <v>1029</v>
      </c>
      <c r="P227" s="2192">
        <v>828</v>
      </c>
      <c r="Q227" s="2192">
        <v>595</v>
      </c>
      <c r="R227" s="828"/>
      <c r="S227" s="828"/>
    </row>
    <row r="228" spans="2:19">
      <c r="B228" s="828"/>
      <c r="C228" s="828"/>
      <c r="D228" s="2239"/>
      <c r="E228" s="2186"/>
      <c r="F228" s="2154" t="s">
        <v>3160</v>
      </c>
      <c r="G228" s="2154" t="s">
        <v>3164</v>
      </c>
      <c r="H228" s="828">
        <v>13</v>
      </c>
      <c r="I228" s="2192" t="e">
        <f t="shared" si="42"/>
        <v>#N/A</v>
      </c>
      <c r="J228" s="2192">
        <v>1233</v>
      </c>
      <c r="K228" s="2192">
        <v>1160</v>
      </c>
      <c r="L228" s="2192">
        <v>1031</v>
      </c>
      <c r="M228" s="2192">
        <v>1144</v>
      </c>
      <c r="N228" s="2192">
        <v>998</v>
      </c>
      <c r="O228" s="2192">
        <v>887</v>
      </c>
      <c r="P228" s="2192">
        <v>720</v>
      </c>
      <c r="Q228" s="2192">
        <v>525</v>
      </c>
      <c r="R228" s="828"/>
      <c r="S228" s="828"/>
    </row>
    <row r="229" spans="2:19" s="2231" customFormat="1">
      <c r="B229" s="828"/>
      <c r="C229" s="828"/>
      <c r="D229" s="2161"/>
      <c r="E229" s="2218"/>
      <c r="F229" s="2154" t="s">
        <v>2396</v>
      </c>
      <c r="G229" s="2154" t="s">
        <v>2919</v>
      </c>
      <c r="H229" s="2154">
        <v>14</v>
      </c>
      <c r="I229" s="2192" t="e">
        <f t="shared" si="42"/>
        <v>#N/A</v>
      </c>
      <c r="J229" s="2192">
        <v>957</v>
      </c>
      <c r="K229" s="2192">
        <v>905</v>
      </c>
      <c r="L229" s="2192">
        <v>839</v>
      </c>
      <c r="M229" s="2192">
        <v>924</v>
      </c>
      <c r="N229" s="2192">
        <v>813</v>
      </c>
      <c r="O229" s="2192">
        <v>870</v>
      </c>
      <c r="P229" s="2192">
        <v>848</v>
      </c>
      <c r="Q229" s="2192">
        <v>937</v>
      </c>
      <c r="R229" s="828"/>
      <c r="S229" s="828"/>
    </row>
    <row r="230" spans="2:19" s="2231" customFormat="1">
      <c r="B230" s="828"/>
      <c r="C230" s="828"/>
      <c r="D230" s="2168" t="s">
        <v>2339</v>
      </c>
      <c r="E230" s="2240" t="s">
        <v>2334</v>
      </c>
      <c r="F230" s="2154" t="s">
        <v>2335</v>
      </c>
      <c r="G230" s="2154" t="s">
        <v>1357</v>
      </c>
      <c r="H230" s="2154">
        <v>15</v>
      </c>
      <c r="I230" s="2192" t="e">
        <f t="shared" si="42"/>
        <v>#N/A</v>
      </c>
      <c r="J230" s="2192">
        <v>1113</v>
      </c>
      <c r="K230" s="2192">
        <v>1051</v>
      </c>
      <c r="L230" s="2192">
        <v>972</v>
      </c>
      <c r="M230" s="2192">
        <v>1073</v>
      </c>
      <c r="N230" s="2192">
        <v>940</v>
      </c>
      <c r="O230" s="2192">
        <v>1009</v>
      </c>
      <c r="P230" s="2192">
        <v>983</v>
      </c>
      <c r="Q230" s="2192">
        <v>1089</v>
      </c>
      <c r="R230" s="828"/>
      <c r="S230" s="828"/>
    </row>
    <row r="231" spans="2:19" s="2231" customFormat="1">
      <c r="B231" s="828"/>
      <c r="C231" s="828"/>
      <c r="D231" s="2168"/>
      <c r="E231" s="2240"/>
      <c r="F231" s="2154" t="s">
        <v>822</v>
      </c>
      <c r="G231" s="2154" t="s">
        <v>3165</v>
      </c>
      <c r="H231" s="828">
        <v>16</v>
      </c>
      <c r="I231" s="2192" t="e">
        <f t="shared" si="42"/>
        <v>#N/A</v>
      </c>
      <c r="J231" s="2192">
        <v>957</v>
      </c>
      <c r="K231" s="2192">
        <v>905</v>
      </c>
      <c r="L231" s="2192">
        <v>839</v>
      </c>
      <c r="M231" s="2192">
        <v>924</v>
      </c>
      <c r="N231" s="2192">
        <v>813</v>
      </c>
      <c r="O231" s="2192">
        <v>870</v>
      </c>
      <c r="P231" s="2192">
        <v>848</v>
      </c>
      <c r="Q231" s="2192">
        <v>937</v>
      </c>
      <c r="R231" s="828"/>
      <c r="S231" s="828"/>
    </row>
    <row r="232" spans="2:19" s="2231" customFormat="1">
      <c r="B232" s="828"/>
      <c r="C232" s="828"/>
      <c r="D232" s="2237"/>
      <c r="E232" s="2161"/>
      <c r="F232" s="2160" t="s">
        <v>2396</v>
      </c>
      <c r="G232" s="2154" t="s">
        <v>2920</v>
      </c>
      <c r="H232" s="2154">
        <v>17</v>
      </c>
      <c r="I232" s="2192" t="e">
        <f t="shared" si="42"/>
        <v>#N/A</v>
      </c>
      <c r="J232" s="2192">
        <v>939</v>
      </c>
      <c r="K232" s="2192">
        <v>889</v>
      </c>
      <c r="L232" s="2192">
        <v>801</v>
      </c>
      <c r="M232" s="2192">
        <v>850</v>
      </c>
      <c r="N232" s="2192">
        <v>732</v>
      </c>
      <c r="O232" s="2192">
        <v>677</v>
      </c>
      <c r="P232" s="2192">
        <v>603</v>
      </c>
      <c r="Q232" s="2192">
        <v>525</v>
      </c>
      <c r="R232" s="828"/>
      <c r="S232" s="828"/>
    </row>
    <row r="233" spans="2:19" s="2231" customFormat="1">
      <c r="B233" s="828"/>
      <c r="C233" s="828"/>
      <c r="D233" s="2238" t="s">
        <v>2339</v>
      </c>
      <c r="E233" s="2168" t="s">
        <v>2337</v>
      </c>
      <c r="F233" s="2160" t="s">
        <v>2335</v>
      </c>
      <c r="G233" s="2154" t="s">
        <v>2921</v>
      </c>
      <c r="H233" s="2154">
        <v>18</v>
      </c>
      <c r="I233" s="2192" t="e">
        <f t="shared" si="42"/>
        <v>#N/A</v>
      </c>
      <c r="J233" s="2192">
        <v>1091</v>
      </c>
      <c r="K233" s="2192">
        <v>1031</v>
      </c>
      <c r="L233" s="2192">
        <v>926</v>
      </c>
      <c r="M233" s="2192">
        <v>985</v>
      </c>
      <c r="N233" s="2192">
        <v>843</v>
      </c>
      <c r="O233" s="2192">
        <v>777</v>
      </c>
      <c r="P233" s="2192">
        <v>689</v>
      </c>
      <c r="Q233" s="2192">
        <v>595</v>
      </c>
      <c r="R233" s="828"/>
      <c r="S233" s="828"/>
    </row>
    <row r="234" spans="2:19" s="2231" customFormat="1">
      <c r="B234" s="828"/>
      <c r="C234" s="828"/>
      <c r="D234" s="2239"/>
      <c r="E234" s="2186"/>
      <c r="F234" s="2154" t="s">
        <v>3160</v>
      </c>
      <c r="G234" s="2154" t="s">
        <v>3166</v>
      </c>
      <c r="H234" s="2154">
        <v>19</v>
      </c>
      <c r="I234" s="2192" t="e">
        <f>HLOOKUP($I$216,$J$216:$Q$234,H234)</f>
        <v>#N/A</v>
      </c>
      <c r="J234" s="2192">
        <v>939</v>
      </c>
      <c r="K234" s="2192">
        <v>889</v>
      </c>
      <c r="L234" s="2192">
        <v>801</v>
      </c>
      <c r="M234" s="2192">
        <v>850</v>
      </c>
      <c r="N234" s="2192">
        <v>732</v>
      </c>
      <c r="O234" s="2192">
        <v>677</v>
      </c>
      <c r="P234" s="2192">
        <v>603</v>
      </c>
      <c r="Q234" s="2192">
        <v>525</v>
      </c>
      <c r="R234" s="828"/>
      <c r="S234" s="828"/>
    </row>
    <row r="235" spans="2:19" hidden="1">
      <c r="B235" s="828"/>
      <c r="C235" s="828"/>
      <c r="D235" s="2193">
        <f>計画書!F64</f>
        <v>0</v>
      </c>
      <c r="E235" s="2193">
        <f>計画書!L64</f>
        <v>0</v>
      </c>
      <c r="F235" s="828" t="str">
        <f>計画書!F62</f>
        <v>算定プログラムによる評価</v>
      </c>
      <c r="G235" s="2247" t="str">
        <f>IFERROR(D235&amp;E235&amp;計画書!F62,"-")</f>
        <v>00算定プログラムによる評価</v>
      </c>
      <c r="H235" s="2247" t="str">
        <f>IFERROR(VLOOKUP(G235,G217:H234,2,0),"-")</f>
        <v>-</v>
      </c>
      <c r="I235" s="2248" t="e">
        <f>IF(H235="-",HLOOKUP($I$216,$T$216:$AA$218,2,FALSE),VLOOKUP(H235,$H$217:$I$234,2))</f>
        <v>#N/A</v>
      </c>
      <c r="J235" s="828"/>
      <c r="K235" s="828"/>
      <c r="L235" s="828"/>
      <c r="M235" s="828"/>
      <c r="N235" s="828"/>
      <c r="O235" s="828"/>
      <c r="P235" s="828"/>
      <c r="Q235" s="828"/>
      <c r="R235" s="828"/>
      <c r="S235" s="828"/>
    </row>
    <row r="236" spans="2:19" hidden="1">
      <c r="B236" s="828"/>
      <c r="C236" s="828"/>
      <c r="D236" s="828"/>
      <c r="E236" s="828"/>
      <c r="F236" s="828"/>
      <c r="G236" s="828" t="str">
        <f>D235&amp;E235&amp;0</f>
        <v>000</v>
      </c>
      <c r="H236" s="2247" t="str">
        <f>IFERROR(VLOOKUP(G236,G217:H234,2,0),"-")</f>
        <v>-</v>
      </c>
      <c r="I236" s="2248" t="e">
        <f>IF(H236="-",HLOOKUP($I$216,$T$216:$AA$218,3,FALSE),VLOOKUP(H236,$H$217:$I$234,2))</f>
        <v>#N/A</v>
      </c>
      <c r="J236" s="828"/>
      <c r="K236" s="828"/>
      <c r="L236" s="828"/>
      <c r="M236" s="828"/>
      <c r="N236" s="828"/>
      <c r="O236" s="828"/>
      <c r="P236" s="828"/>
      <c r="Q236" s="828"/>
      <c r="R236" s="828"/>
      <c r="S236" s="828"/>
    </row>
    <row r="237" spans="2:19">
      <c r="B237" s="828"/>
      <c r="C237" s="828"/>
      <c r="D237" s="1636"/>
      <c r="E237" s="1637"/>
      <c r="F237" s="1637"/>
      <c r="G237" s="1637"/>
      <c r="H237" s="1637"/>
      <c r="I237" s="1693"/>
      <c r="J237" s="1687"/>
      <c r="K237" s="1637"/>
      <c r="L237" s="1637"/>
      <c r="M237" s="1637"/>
      <c r="N237" s="1637"/>
      <c r="O237" s="1637"/>
      <c r="P237" s="1637"/>
      <c r="Q237" s="1637"/>
      <c r="R237" s="828"/>
      <c r="S237" s="828"/>
    </row>
    <row r="238" spans="2:19">
      <c r="C238" s="1698" t="s">
        <v>2889</v>
      </c>
      <c r="D238" s="1637"/>
      <c r="E238" s="1637"/>
      <c r="F238" s="1637"/>
      <c r="G238" s="1637"/>
      <c r="H238" s="1637"/>
      <c r="I238" s="1637"/>
      <c r="J238" s="1637"/>
      <c r="K238" s="1637"/>
      <c r="L238" s="1637"/>
      <c r="M238" s="1637"/>
      <c r="N238" s="1637"/>
      <c r="O238" s="1637"/>
      <c r="P238" s="1637"/>
      <c r="Q238" s="1637"/>
    </row>
    <row r="239" spans="2:19">
      <c r="C239" s="1699"/>
      <c r="D239" s="1637"/>
      <c r="E239" s="1637"/>
      <c r="F239" s="1637"/>
      <c r="G239" s="1637"/>
      <c r="H239" s="1637"/>
      <c r="I239" s="1637"/>
      <c r="J239" s="1637"/>
      <c r="K239" s="1637"/>
      <c r="L239" s="1637"/>
      <c r="M239" s="1637"/>
      <c r="N239" s="1637"/>
      <c r="O239" s="1637"/>
      <c r="P239" s="1637"/>
      <c r="Q239" s="1637"/>
    </row>
    <row r="240" spans="2:19">
      <c r="C240" s="1642" t="s">
        <v>2607</v>
      </c>
      <c r="D240" s="1637"/>
      <c r="E240" s="1637"/>
      <c r="F240" s="1637"/>
      <c r="G240" s="1637"/>
      <c r="H240" s="1637"/>
      <c r="I240" s="1644" t="s">
        <v>772</v>
      </c>
      <c r="J240" s="1640"/>
      <c r="K240" s="1645"/>
      <c r="L240" s="1644" t="s">
        <v>771</v>
      </c>
      <c r="M240" s="1640"/>
      <c r="N240" s="1645"/>
      <c r="O240" s="1644" t="s">
        <v>773</v>
      </c>
      <c r="P240" s="1640"/>
      <c r="Q240" s="1645"/>
    </row>
    <row r="241" spans="3:17">
      <c r="C241" s="1637"/>
      <c r="D241" s="1700" t="s">
        <v>2608</v>
      </c>
      <c r="E241" s="1637"/>
      <c r="F241" s="1637"/>
      <c r="G241" s="1675"/>
      <c r="H241" s="1675"/>
      <c r="I241" s="1651" t="s">
        <v>523</v>
      </c>
      <c r="J241" s="1651" t="s">
        <v>524</v>
      </c>
      <c r="K241" s="1651" t="s">
        <v>525</v>
      </c>
      <c r="L241" s="1651" t="s">
        <v>523</v>
      </c>
      <c r="M241" s="1651" t="s">
        <v>524</v>
      </c>
      <c r="N241" s="1651" t="s">
        <v>525</v>
      </c>
      <c r="O241" s="1651" t="s">
        <v>523</v>
      </c>
      <c r="P241" s="1651" t="s">
        <v>524</v>
      </c>
      <c r="Q241" s="1651" t="s">
        <v>525</v>
      </c>
    </row>
    <row r="242" spans="3:17">
      <c r="C242" s="1637"/>
      <c r="D242" s="1637"/>
      <c r="E242" s="1646" t="s">
        <v>526</v>
      </c>
      <c r="F242" s="1695"/>
      <c r="G242" s="1675">
        <v>1</v>
      </c>
      <c r="H242" s="1675"/>
      <c r="I242" s="1701">
        <v>60</v>
      </c>
      <c r="J242" s="1701">
        <v>60</v>
      </c>
      <c r="K242" s="1701">
        <v>60</v>
      </c>
      <c r="L242" s="1701">
        <v>60</v>
      </c>
      <c r="M242" s="1701">
        <v>60</v>
      </c>
      <c r="N242" s="1701">
        <v>60</v>
      </c>
      <c r="O242" s="1701">
        <v>60</v>
      </c>
      <c r="P242" s="1701">
        <v>60</v>
      </c>
      <c r="Q242" s="1701">
        <v>60</v>
      </c>
    </row>
    <row r="243" spans="3:17">
      <c r="C243" s="1637"/>
      <c r="D243" s="1637"/>
      <c r="E243" s="1646" t="s">
        <v>464</v>
      </c>
      <c r="F243" s="1695"/>
      <c r="G243" s="1675">
        <v>2</v>
      </c>
      <c r="H243" s="1675"/>
      <c r="I243" s="1701">
        <v>60</v>
      </c>
      <c r="J243" s="1701">
        <v>60</v>
      </c>
      <c r="K243" s="1701">
        <v>60</v>
      </c>
      <c r="L243" s="1701">
        <v>60</v>
      </c>
      <c r="M243" s="1701">
        <v>60</v>
      </c>
      <c r="N243" s="1701">
        <v>60</v>
      </c>
      <c r="O243" s="1701">
        <v>60</v>
      </c>
      <c r="P243" s="1701">
        <v>60</v>
      </c>
      <c r="Q243" s="1701">
        <v>60</v>
      </c>
    </row>
    <row r="244" spans="3:17">
      <c r="C244" s="1637"/>
      <c r="D244" s="1637"/>
      <c r="E244" s="1646" t="s">
        <v>466</v>
      </c>
      <c r="F244" s="1695"/>
      <c r="G244" s="1675">
        <v>3</v>
      </c>
      <c r="H244" s="1675"/>
      <c r="I244" s="1701">
        <v>30</v>
      </c>
      <c r="J244" s="1701">
        <v>30</v>
      </c>
      <c r="K244" s="1701">
        <v>30</v>
      </c>
      <c r="L244" s="1701">
        <v>30</v>
      </c>
      <c r="M244" s="1701">
        <v>30</v>
      </c>
      <c r="N244" s="1701">
        <v>30</v>
      </c>
      <c r="O244" s="1701">
        <v>30</v>
      </c>
      <c r="P244" s="1701">
        <v>30</v>
      </c>
      <c r="Q244" s="1701">
        <v>30</v>
      </c>
    </row>
    <row r="245" spans="3:17">
      <c r="C245" s="1637"/>
      <c r="D245" s="1637"/>
      <c r="E245" s="1646" t="s">
        <v>468</v>
      </c>
      <c r="F245" s="1695"/>
      <c r="G245" s="1675">
        <v>4</v>
      </c>
      <c r="H245" s="1675"/>
      <c r="I245" s="1701">
        <v>30</v>
      </c>
      <c r="J245" s="1701">
        <v>30</v>
      </c>
      <c r="K245" s="1701">
        <v>30</v>
      </c>
      <c r="L245" s="1701">
        <v>30</v>
      </c>
      <c r="M245" s="1701">
        <v>30</v>
      </c>
      <c r="N245" s="1701">
        <v>30</v>
      </c>
      <c r="O245" s="1701">
        <v>30</v>
      </c>
      <c r="P245" s="1701">
        <v>30</v>
      </c>
      <c r="Q245" s="1701">
        <v>30</v>
      </c>
    </row>
    <row r="246" spans="3:17">
      <c r="C246" s="1637"/>
      <c r="D246" s="1637"/>
      <c r="E246" s="1646" t="s">
        <v>1973</v>
      </c>
      <c r="F246" s="1695"/>
      <c r="G246" s="1675">
        <v>5</v>
      </c>
      <c r="H246" s="1675"/>
      <c r="I246" s="1701">
        <v>60</v>
      </c>
      <c r="J246" s="1701">
        <v>60</v>
      </c>
      <c r="K246" s="1701">
        <v>60</v>
      </c>
      <c r="L246" s="1701">
        <v>60</v>
      </c>
      <c r="M246" s="1701">
        <v>60</v>
      </c>
      <c r="N246" s="1701">
        <v>60</v>
      </c>
      <c r="O246" s="1701">
        <v>60</v>
      </c>
      <c r="P246" s="1701">
        <v>60</v>
      </c>
      <c r="Q246" s="1701">
        <v>60</v>
      </c>
    </row>
    <row r="247" spans="3:17">
      <c r="C247" s="1637"/>
      <c r="D247" s="1637"/>
      <c r="E247" s="1646" t="s">
        <v>478</v>
      </c>
      <c r="F247" s="1695"/>
      <c r="G247" s="1675">
        <v>6</v>
      </c>
      <c r="H247" s="1675"/>
      <c r="I247" s="1701">
        <v>30</v>
      </c>
      <c r="J247" s="1701">
        <v>30</v>
      </c>
      <c r="K247" s="1701">
        <v>30</v>
      </c>
      <c r="L247" s="1701">
        <v>30</v>
      </c>
      <c r="M247" s="1701">
        <v>30</v>
      </c>
      <c r="N247" s="1701">
        <v>30</v>
      </c>
      <c r="O247" s="1701">
        <v>30</v>
      </c>
      <c r="P247" s="1701">
        <v>30</v>
      </c>
      <c r="Q247" s="1701">
        <v>30</v>
      </c>
    </row>
    <row r="248" spans="3:17">
      <c r="C248" s="1637"/>
      <c r="D248" s="1637"/>
      <c r="E248" s="1646" t="s">
        <v>472</v>
      </c>
      <c r="F248" s="1695"/>
      <c r="G248" s="1675">
        <v>7</v>
      </c>
      <c r="H248" s="1675"/>
      <c r="I248" s="1701">
        <v>60</v>
      </c>
      <c r="J248" s="1701">
        <v>60</v>
      </c>
      <c r="K248" s="1701">
        <v>60</v>
      </c>
      <c r="L248" s="1701">
        <v>60</v>
      </c>
      <c r="M248" s="1701">
        <v>60</v>
      </c>
      <c r="N248" s="1701">
        <v>60</v>
      </c>
      <c r="O248" s="1701">
        <v>60</v>
      </c>
      <c r="P248" s="1701">
        <v>60</v>
      </c>
      <c r="Q248" s="1701">
        <v>60</v>
      </c>
    </row>
    <row r="249" spans="3:17">
      <c r="C249" s="1637"/>
      <c r="D249" s="1637"/>
      <c r="E249" s="1646" t="s">
        <v>333</v>
      </c>
      <c r="F249" s="1695"/>
      <c r="G249" s="1675">
        <v>8</v>
      </c>
      <c r="H249" s="1675"/>
      <c r="I249" s="1701">
        <v>60</v>
      </c>
      <c r="J249" s="1701">
        <v>60</v>
      </c>
      <c r="K249" s="1701">
        <v>60</v>
      </c>
      <c r="L249" s="1701">
        <v>60</v>
      </c>
      <c r="M249" s="1701">
        <v>60</v>
      </c>
      <c r="N249" s="1701">
        <v>60</v>
      </c>
      <c r="O249" s="1701">
        <v>60</v>
      </c>
      <c r="P249" s="1701">
        <v>60</v>
      </c>
      <c r="Q249" s="1701">
        <v>60</v>
      </c>
    </row>
    <row r="250" spans="3:17">
      <c r="C250" s="1637"/>
      <c r="D250" s="1637"/>
      <c r="E250" s="1646" t="s">
        <v>476</v>
      </c>
      <c r="F250" s="1695"/>
      <c r="G250" s="1675">
        <v>9</v>
      </c>
      <c r="H250" s="1675"/>
      <c r="I250" s="1701">
        <v>30</v>
      </c>
      <c r="J250" s="1701">
        <v>60</v>
      </c>
      <c r="K250" s="1701">
        <v>90</v>
      </c>
      <c r="L250" s="1701">
        <v>30</v>
      </c>
      <c r="M250" s="1701">
        <v>60</v>
      </c>
      <c r="N250" s="1701">
        <v>90</v>
      </c>
      <c r="O250" s="1701">
        <v>30</v>
      </c>
      <c r="P250" s="1701">
        <v>60</v>
      </c>
      <c r="Q250" s="1701">
        <v>90</v>
      </c>
    </row>
    <row r="251" spans="3:17">
      <c r="C251" s="1642"/>
      <c r="D251" s="1642"/>
      <c r="E251" s="1637"/>
      <c r="F251" s="1637"/>
      <c r="G251" s="1637"/>
      <c r="H251" s="1637"/>
      <c r="I251" s="1702"/>
      <c r="J251" s="1702"/>
      <c r="K251" s="1702"/>
      <c r="L251" s="1702"/>
      <c r="M251" s="1702"/>
      <c r="N251" s="1702"/>
      <c r="O251" s="1702"/>
      <c r="P251" s="1702"/>
      <c r="Q251" s="1702"/>
    </row>
    <row r="252" spans="3:17">
      <c r="C252" s="1642" t="s">
        <v>2400</v>
      </c>
      <c r="D252" s="1642"/>
      <c r="E252" s="1637"/>
      <c r="F252" s="1637"/>
      <c r="G252" s="1637"/>
      <c r="H252" s="1637"/>
      <c r="I252" s="868" t="s">
        <v>2609</v>
      </c>
      <c r="J252" s="1703" t="s">
        <v>3521</v>
      </c>
      <c r="K252" s="1703" t="s">
        <v>2610</v>
      </c>
      <c r="L252" s="868" t="s">
        <v>2609</v>
      </c>
      <c r="M252" s="1703" t="s">
        <v>3521</v>
      </c>
      <c r="N252" s="1703" t="s">
        <v>2610</v>
      </c>
      <c r="O252" s="868" t="s">
        <v>2609</v>
      </c>
      <c r="P252" s="1703" t="s">
        <v>3521</v>
      </c>
      <c r="Q252" s="1703" t="s">
        <v>2610</v>
      </c>
    </row>
    <row r="253" spans="3:17">
      <c r="C253" s="1637"/>
      <c r="D253" s="1637" t="s">
        <v>1794</v>
      </c>
      <c r="E253" s="1637" t="s">
        <v>2403</v>
      </c>
      <c r="F253" s="1637" t="s">
        <v>2404</v>
      </c>
      <c r="G253" s="1637"/>
      <c r="H253" s="1637"/>
      <c r="I253" s="1704">
        <v>0.56699999999999995</v>
      </c>
      <c r="J253" s="1704">
        <v>0</v>
      </c>
      <c r="K253" s="1704">
        <v>0</v>
      </c>
      <c r="L253" s="1704">
        <v>0.77200000000000002</v>
      </c>
      <c r="M253" s="1704">
        <v>0</v>
      </c>
      <c r="N253" s="1704">
        <v>0</v>
      </c>
      <c r="O253" s="1704">
        <v>0.69599999999999995</v>
      </c>
      <c r="P253" s="1704">
        <v>0</v>
      </c>
      <c r="Q253" s="1704">
        <v>0</v>
      </c>
    </row>
    <row r="254" spans="3:17">
      <c r="C254" s="1637"/>
      <c r="D254" s="1637"/>
      <c r="E254" s="1637" t="s">
        <v>2405</v>
      </c>
      <c r="F254" s="1637" t="s">
        <v>2404</v>
      </c>
      <c r="G254" s="1637"/>
      <c r="H254" s="1637"/>
      <c r="I254" s="1704">
        <v>0</v>
      </c>
      <c r="J254" s="1704">
        <v>0</v>
      </c>
      <c r="K254" s="1704">
        <v>0.56699999999999995</v>
      </c>
      <c r="L254" s="1704">
        <v>0</v>
      </c>
      <c r="M254" s="1704">
        <v>0</v>
      </c>
      <c r="N254" s="1704">
        <v>0.77200000000000002</v>
      </c>
      <c r="O254" s="1704">
        <v>0</v>
      </c>
      <c r="P254" s="1704">
        <v>0</v>
      </c>
      <c r="Q254" s="1704">
        <v>0.69599999999999995</v>
      </c>
    </row>
    <row r="255" spans="3:17">
      <c r="C255" s="1637"/>
      <c r="D255" s="1637"/>
      <c r="E255" s="1637" t="s">
        <v>2406</v>
      </c>
      <c r="F255" s="1637" t="s">
        <v>2407</v>
      </c>
      <c r="G255" s="1637"/>
      <c r="H255" s="1637"/>
      <c r="I255" s="1704">
        <v>0.13600000000000001</v>
      </c>
      <c r="J255" s="1704">
        <v>0</v>
      </c>
      <c r="K255" s="1704">
        <v>0.13600000000000001</v>
      </c>
      <c r="L255" s="1704">
        <v>3.7999999999999999E-2</v>
      </c>
      <c r="M255" s="1704">
        <v>0</v>
      </c>
      <c r="N255" s="1704">
        <v>3.7999999999999999E-2</v>
      </c>
      <c r="O255" s="1704">
        <v>0.1</v>
      </c>
      <c r="P255" s="1704">
        <v>0</v>
      </c>
      <c r="Q255" s="1704">
        <v>0.1</v>
      </c>
    </row>
    <row r="256" spans="3:17">
      <c r="C256" s="1705"/>
      <c r="D256" s="1705"/>
      <c r="E256" s="1705" t="s">
        <v>2408</v>
      </c>
      <c r="F256" s="1705" t="s">
        <v>2407</v>
      </c>
      <c r="G256" s="1705"/>
      <c r="H256" s="1705"/>
      <c r="I256" s="1704"/>
      <c r="J256" s="1704">
        <v>0</v>
      </c>
      <c r="K256" s="1704">
        <v>0</v>
      </c>
      <c r="L256" s="1704"/>
      <c r="M256" s="1704">
        <v>0</v>
      </c>
      <c r="N256" s="1704">
        <v>0</v>
      </c>
      <c r="O256" s="1704"/>
      <c r="P256" s="1704">
        <v>0</v>
      </c>
      <c r="Q256" s="1704">
        <v>0</v>
      </c>
    </row>
    <row r="257" spans="3:17">
      <c r="C257" s="1637"/>
      <c r="D257" s="1637"/>
      <c r="E257" s="1637" t="s">
        <v>2409</v>
      </c>
      <c r="F257" s="1637" t="s">
        <v>2407</v>
      </c>
      <c r="G257" s="1637"/>
      <c r="H257" s="1637"/>
      <c r="I257" s="1704">
        <v>7.0000000000000007E-2</v>
      </c>
      <c r="J257" s="1704">
        <v>0</v>
      </c>
      <c r="K257" s="1704">
        <v>7.0000000000000007E-2</v>
      </c>
      <c r="L257" s="1704">
        <v>0.10299999999999999</v>
      </c>
      <c r="M257" s="1704">
        <v>0</v>
      </c>
      <c r="N257" s="1704">
        <v>0.10299999999999999</v>
      </c>
      <c r="O257" s="1704">
        <v>7.8E-2</v>
      </c>
      <c r="P257" s="1704">
        <v>0</v>
      </c>
      <c r="Q257" s="1704">
        <v>7.8E-2</v>
      </c>
    </row>
    <row r="258" spans="3:17">
      <c r="C258" s="1637"/>
      <c r="D258" s="1637"/>
      <c r="E258" s="1637" t="s">
        <v>2087</v>
      </c>
      <c r="F258" s="1637" t="s">
        <v>2407</v>
      </c>
      <c r="G258" s="1637"/>
      <c r="H258" s="1637"/>
      <c r="I258" s="1704">
        <v>5.0000000000000001E-3</v>
      </c>
      <c r="J258" s="1704">
        <v>0</v>
      </c>
      <c r="K258" s="1704">
        <v>5.0000000000000001E-3</v>
      </c>
      <c r="L258" s="1704">
        <v>1.2999999999999999E-2</v>
      </c>
      <c r="M258" s="1704">
        <v>0</v>
      </c>
      <c r="N258" s="1704">
        <v>1.26E-2</v>
      </c>
      <c r="O258" s="1704">
        <v>8.0000000000000002E-3</v>
      </c>
      <c r="P258" s="1704">
        <v>0</v>
      </c>
      <c r="Q258" s="1704">
        <v>8.0000000000000002E-3</v>
      </c>
    </row>
    <row r="259" spans="3:17">
      <c r="C259" s="1637"/>
      <c r="D259" s="1637" t="s">
        <v>1795</v>
      </c>
      <c r="E259" s="1637" t="s">
        <v>2403</v>
      </c>
      <c r="F259" s="1637" t="s">
        <v>2404</v>
      </c>
      <c r="G259" s="1637"/>
      <c r="H259" s="1637"/>
      <c r="I259" s="1704">
        <v>0.35199999999999998</v>
      </c>
      <c r="J259" s="1704">
        <v>0</v>
      </c>
      <c r="K259" s="1704">
        <v>0</v>
      </c>
      <c r="L259" s="1704">
        <v>0.86499999999999999</v>
      </c>
      <c r="M259" s="1704">
        <v>0</v>
      </c>
      <c r="N259" s="1704">
        <v>0</v>
      </c>
      <c r="O259" s="1704">
        <v>0.95799999999999996</v>
      </c>
      <c r="P259" s="1704">
        <v>0</v>
      </c>
      <c r="Q259" s="1704">
        <v>0</v>
      </c>
    </row>
    <row r="260" spans="3:17">
      <c r="C260" s="1637"/>
      <c r="D260" s="1637"/>
      <c r="E260" s="1637" t="s">
        <v>2405</v>
      </c>
      <c r="F260" s="1637" t="s">
        <v>2404</v>
      </c>
      <c r="G260" s="1637"/>
      <c r="H260" s="1637"/>
      <c r="I260" s="1704">
        <v>0</v>
      </c>
      <c r="J260" s="1704">
        <v>0</v>
      </c>
      <c r="K260" s="1704">
        <v>0.35199999999999998</v>
      </c>
      <c r="L260" s="1704">
        <v>0</v>
      </c>
      <c r="M260" s="1704">
        <v>0</v>
      </c>
      <c r="N260" s="1704">
        <v>0.86499999999999999</v>
      </c>
      <c r="O260" s="1704">
        <v>0</v>
      </c>
      <c r="P260" s="1704">
        <v>0</v>
      </c>
      <c r="Q260" s="1704">
        <v>0.95799999999999996</v>
      </c>
    </row>
    <row r="261" spans="3:17">
      <c r="C261" s="1637"/>
      <c r="D261" s="1637"/>
      <c r="E261" s="1637" t="s">
        <v>2406</v>
      </c>
      <c r="F261" s="1637" t="s">
        <v>2407</v>
      </c>
      <c r="G261" s="1637"/>
      <c r="H261" s="1637"/>
      <c r="I261" s="1704">
        <v>0.105</v>
      </c>
      <c r="J261" s="1704">
        <v>0</v>
      </c>
      <c r="K261" s="1704">
        <v>0.105</v>
      </c>
      <c r="L261" s="1704">
        <v>5.0000000000000001E-3</v>
      </c>
      <c r="M261" s="1704">
        <v>0</v>
      </c>
      <c r="N261" s="1704">
        <v>5.0000000000000001E-3</v>
      </c>
      <c r="O261" s="1704">
        <v>7.8E-2</v>
      </c>
      <c r="P261" s="1704">
        <v>0</v>
      </c>
      <c r="Q261" s="1704">
        <v>7.8E-2</v>
      </c>
    </row>
    <row r="262" spans="3:17">
      <c r="C262" s="1705"/>
      <c r="D262" s="1705"/>
      <c r="E262" s="1705" t="s">
        <v>2408</v>
      </c>
      <c r="F262" s="1705" t="s">
        <v>2407</v>
      </c>
      <c r="G262" s="1705"/>
      <c r="H262" s="1705"/>
      <c r="I262" s="1704"/>
      <c r="J262" s="1704">
        <v>0</v>
      </c>
      <c r="K262" s="1704">
        <v>0</v>
      </c>
      <c r="L262" s="1704"/>
      <c r="M262" s="1704">
        <v>0</v>
      </c>
      <c r="N262" s="1704">
        <v>0</v>
      </c>
      <c r="O262" s="1704"/>
      <c r="P262" s="1704">
        <v>0</v>
      </c>
      <c r="Q262" s="1704">
        <v>0</v>
      </c>
    </row>
    <row r="263" spans="3:17">
      <c r="C263" s="1637"/>
      <c r="D263" s="1637"/>
      <c r="E263" s="1637" t="s">
        <v>2409</v>
      </c>
      <c r="F263" s="1637" t="s">
        <v>2407</v>
      </c>
      <c r="G263" s="1637"/>
      <c r="H263" s="1637"/>
      <c r="I263" s="1704">
        <v>4.4999999999999998E-2</v>
      </c>
      <c r="J263" s="1704">
        <v>0</v>
      </c>
      <c r="K263" s="1704">
        <v>4.4999999999999998E-2</v>
      </c>
      <c r="L263" s="1704">
        <v>0.112</v>
      </c>
      <c r="M263" s="1704">
        <v>0</v>
      </c>
      <c r="N263" s="1704">
        <v>0.112</v>
      </c>
      <c r="O263" s="1704">
        <v>0.11</v>
      </c>
      <c r="P263" s="1704">
        <v>0</v>
      </c>
      <c r="Q263" s="1704">
        <v>0.11</v>
      </c>
    </row>
    <row r="264" spans="3:17">
      <c r="C264" s="1637"/>
      <c r="D264" s="1637"/>
      <c r="E264" s="1637" t="s">
        <v>2087</v>
      </c>
      <c r="F264" s="1637" t="s">
        <v>2407</v>
      </c>
      <c r="G264" s="1637"/>
      <c r="H264" s="1637"/>
      <c r="I264" s="1704">
        <v>2E-3</v>
      </c>
      <c r="J264" s="1704">
        <v>0</v>
      </c>
      <c r="K264" s="1704">
        <v>2.3999999999999998E-3</v>
      </c>
      <c r="L264" s="1704">
        <v>1.4999999999999999E-2</v>
      </c>
      <c r="M264" s="1704">
        <v>0</v>
      </c>
      <c r="N264" s="1704">
        <v>1.47E-2</v>
      </c>
      <c r="O264" s="1704">
        <v>1.2E-2</v>
      </c>
      <c r="P264" s="1704">
        <v>0</v>
      </c>
      <c r="Q264" s="1704">
        <v>1.167E-2</v>
      </c>
    </row>
    <row r="265" spans="3:17">
      <c r="C265" s="1637"/>
      <c r="D265" s="1637" t="s">
        <v>1970</v>
      </c>
      <c r="E265" s="1637" t="s">
        <v>2403</v>
      </c>
      <c r="F265" s="1637" t="s">
        <v>1955</v>
      </c>
      <c r="G265" s="1637"/>
      <c r="H265" s="1637"/>
      <c r="I265" s="1704">
        <v>0.34200000000000003</v>
      </c>
      <c r="J265" s="1704">
        <v>0</v>
      </c>
      <c r="K265" s="1704">
        <v>0</v>
      </c>
      <c r="L265" s="1704">
        <v>0.88800000000000001</v>
      </c>
      <c r="M265" s="1704">
        <v>0</v>
      </c>
      <c r="N265" s="1704">
        <v>0</v>
      </c>
      <c r="O265" s="1704">
        <v>0.307</v>
      </c>
      <c r="P265" s="1704">
        <v>0</v>
      </c>
      <c r="Q265" s="1704">
        <v>0</v>
      </c>
    </row>
    <row r="266" spans="3:17">
      <c r="C266" s="1637"/>
      <c r="D266" s="1637"/>
      <c r="E266" s="1637" t="s">
        <v>2405</v>
      </c>
      <c r="F266" s="1637" t="s">
        <v>2404</v>
      </c>
      <c r="G266" s="1637"/>
      <c r="H266" s="1637"/>
      <c r="I266" s="1704">
        <v>0</v>
      </c>
      <c r="J266" s="1704">
        <v>0</v>
      </c>
      <c r="K266" s="1704">
        <v>0.34200000000000003</v>
      </c>
      <c r="L266" s="1704">
        <v>0</v>
      </c>
      <c r="M266" s="1704">
        <v>0</v>
      </c>
      <c r="N266" s="1704">
        <v>0.88800000000000001</v>
      </c>
      <c r="O266" s="1704">
        <v>0</v>
      </c>
      <c r="P266" s="1704">
        <v>0</v>
      </c>
      <c r="Q266" s="1704">
        <v>0.307</v>
      </c>
    </row>
    <row r="267" spans="3:17">
      <c r="C267" s="1637"/>
      <c r="D267" s="1637"/>
      <c r="E267" s="1637" t="s">
        <v>2406</v>
      </c>
      <c r="F267" s="1637" t="s">
        <v>2407</v>
      </c>
      <c r="G267" s="1637"/>
      <c r="H267" s="1637"/>
      <c r="I267" s="1704">
        <v>7.1999999999999995E-2</v>
      </c>
      <c r="J267" s="1704">
        <v>0</v>
      </c>
      <c r="K267" s="1704">
        <v>7.1999999999999995E-2</v>
      </c>
      <c r="L267" s="1704">
        <v>1.7000000000000001E-2</v>
      </c>
      <c r="M267" s="1704">
        <v>0</v>
      </c>
      <c r="N267" s="1704">
        <v>1.7000000000000001E-2</v>
      </c>
      <c r="O267" s="1704">
        <v>7.0999999999999994E-2</v>
      </c>
      <c r="P267" s="1704">
        <v>0</v>
      </c>
      <c r="Q267" s="1704">
        <v>7.0999999999999994E-2</v>
      </c>
    </row>
    <row r="268" spans="3:17">
      <c r="C268" s="1705"/>
      <c r="D268" s="1705"/>
      <c r="E268" s="1705" t="s">
        <v>2408</v>
      </c>
      <c r="F268" s="1705" t="s">
        <v>2407</v>
      </c>
      <c r="G268" s="1705"/>
      <c r="H268" s="1705"/>
      <c r="I268" s="1704"/>
      <c r="J268" s="1704">
        <v>0</v>
      </c>
      <c r="K268" s="1704">
        <v>0</v>
      </c>
      <c r="L268" s="1704"/>
      <c r="M268" s="1704">
        <v>0</v>
      </c>
      <c r="N268" s="1704">
        <v>0</v>
      </c>
      <c r="O268" s="1704"/>
      <c r="P268" s="1704">
        <v>0</v>
      </c>
      <c r="Q268" s="1704">
        <v>0</v>
      </c>
    </row>
    <row r="269" spans="3:17">
      <c r="C269" s="1637"/>
      <c r="D269" s="1637"/>
      <c r="E269" s="1637" t="s">
        <v>2409</v>
      </c>
      <c r="F269" s="1637" t="s">
        <v>2407</v>
      </c>
      <c r="G269" s="1637"/>
      <c r="H269" s="1637"/>
      <c r="I269" s="1704">
        <v>2.4E-2</v>
      </c>
      <c r="J269" s="1704">
        <v>0</v>
      </c>
      <c r="K269" s="1704">
        <v>2.4E-2</v>
      </c>
      <c r="L269" s="1704">
        <v>0.11799999999999999</v>
      </c>
      <c r="M269" s="1704">
        <v>0</v>
      </c>
      <c r="N269" s="1704">
        <v>0.11799999999999999</v>
      </c>
      <c r="O269" s="1704">
        <v>5.2999999999999999E-2</v>
      </c>
      <c r="P269" s="1704">
        <v>0</v>
      </c>
      <c r="Q269" s="1704">
        <v>5.2999999999999999E-2</v>
      </c>
    </row>
    <row r="270" spans="3:17">
      <c r="C270" s="1637"/>
      <c r="D270" s="1637"/>
      <c r="E270" s="1637" t="s">
        <v>2087</v>
      </c>
      <c r="F270" s="1637" t="s">
        <v>2407</v>
      </c>
      <c r="G270" s="1637"/>
      <c r="H270" s="1637"/>
      <c r="I270" s="1704">
        <v>2E-3</v>
      </c>
      <c r="J270" s="1704">
        <v>0</v>
      </c>
      <c r="K270" s="1704">
        <v>1.8600000000000001E-3</v>
      </c>
      <c r="L270" s="1704">
        <v>1.4999999999999999E-2</v>
      </c>
      <c r="M270" s="1704">
        <v>0</v>
      </c>
      <c r="N270" s="1704">
        <v>1.4800000000000001E-2</v>
      </c>
      <c r="O270" s="1704">
        <v>5.0000000000000001E-3</v>
      </c>
      <c r="P270" s="1704">
        <v>0</v>
      </c>
      <c r="Q270" s="1704">
        <v>4.8300000000000001E-3</v>
      </c>
    </row>
    <row r="271" spans="3:17">
      <c r="C271" s="1637"/>
      <c r="D271" s="1637" t="s">
        <v>2088</v>
      </c>
      <c r="E271" s="1637" t="s">
        <v>2403</v>
      </c>
      <c r="F271" s="1637" t="s">
        <v>2404</v>
      </c>
      <c r="G271" s="1637"/>
      <c r="H271" s="1637"/>
      <c r="I271" s="1704">
        <v>0.34200000000000003</v>
      </c>
      <c r="J271" s="1704">
        <v>0</v>
      </c>
      <c r="K271" s="1704">
        <v>0</v>
      </c>
      <c r="L271" s="1704">
        <v>0.88800000000000001</v>
      </c>
      <c r="M271" s="1704">
        <v>0</v>
      </c>
      <c r="N271" s="1704">
        <v>0</v>
      </c>
      <c r="O271" s="1704">
        <v>0.307</v>
      </c>
      <c r="P271" s="1704">
        <v>0</v>
      </c>
      <c r="Q271" s="1704">
        <v>0</v>
      </c>
    </row>
    <row r="272" spans="3:17">
      <c r="C272" s="1637"/>
      <c r="D272" s="1637"/>
      <c r="E272" s="1637" t="s">
        <v>2405</v>
      </c>
      <c r="F272" s="1637" t="s">
        <v>2404</v>
      </c>
      <c r="G272" s="1637"/>
      <c r="H272" s="1637"/>
      <c r="I272" s="1704">
        <v>0</v>
      </c>
      <c r="J272" s="1704">
        <v>0</v>
      </c>
      <c r="K272" s="1704">
        <v>0.34200000000000003</v>
      </c>
      <c r="L272" s="1704">
        <v>0</v>
      </c>
      <c r="M272" s="1704">
        <v>0</v>
      </c>
      <c r="N272" s="1704">
        <v>0.88800000000000001</v>
      </c>
      <c r="O272" s="1704">
        <v>0</v>
      </c>
      <c r="P272" s="1704">
        <v>0</v>
      </c>
      <c r="Q272" s="1704">
        <v>0.307</v>
      </c>
    </row>
    <row r="273" spans="3:17">
      <c r="C273" s="1637"/>
      <c r="D273" s="1637"/>
      <c r="E273" s="1637" t="s">
        <v>2406</v>
      </c>
      <c r="F273" s="1637" t="s">
        <v>2407</v>
      </c>
      <c r="G273" s="1637"/>
      <c r="H273" s="1637"/>
      <c r="I273" s="1704">
        <v>7.1999999999999995E-2</v>
      </c>
      <c r="J273" s="1704">
        <v>0</v>
      </c>
      <c r="K273" s="1704">
        <v>7.1999999999999995E-2</v>
      </c>
      <c r="L273" s="1704">
        <v>1.7000000000000001E-2</v>
      </c>
      <c r="M273" s="1704">
        <v>0</v>
      </c>
      <c r="N273" s="1704">
        <v>1.7000000000000001E-2</v>
      </c>
      <c r="O273" s="1704">
        <v>7.0999999999999994E-2</v>
      </c>
      <c r="P273" s="1704">
        <v>0</v>
      </c>
      <c r="Q273" s="1704">
        <v>7.0999999999999994E-2</v>
      </c>
    </row>
    <row r="274" spans="3:17">
      <c r="C274" s="1705"/>
      <c r="D274" s="1705"/>
      <c r="E274" s="1705" t="s">
        <v>2408</v>
      </c>
      <c r="F274" s="1705" t="s">
        <v>2407</v>
      </c>
      <c r="G274" s="1705"/>
      <c r="H274" s="1705"/>
      <c r="I274" s="1704"/>
      <c r="J274" s="1704">
        <v>0</v>
      </c>
      <c r="K274" s="1704">
        <v>0</v>
      </c>
      <c r="L274" s="1704"/>
      <c r="M274" s="1704">
        <v>0</v>
      </c>
      <c r="N274" s="1704">
        <v>0</v>
      </c>
      <c r="O274" s="1704"/>
      <c r="P274" s="1704">
        <v>0</v>
      </c>
      <c r="Q274" s="1704">
        <v>0</v>
      </c>
    </row>
    <row r="275" spans="3:17">
      <c r="C275" s="1637"/>
      <c r="D275" s="1637"/>
      <c r="E275" s="1637" t="s">
        <v>2409</v>
      </c>
      <c r="F275" s="1637" t="s">
        <v>2407</v>
      </c>
      <c r="G275" s="1637"/>
      <c r="H275" s="1637"/>
      <c r="I275" s="1704">
        <v>2.4E-2</v>
      </c>
      <c r="J275" s="1704">
        <v>0</v>
      </c>
      <c r="K275" s="1704">
        <v>2.4E-2</v>
      </c>
      <c r="L275" s="1704">
        <v>0.11799999999999999</v>
      </c>
      <c r="M275" s="1704">
        <v>0</v>
      </c>
      <c r="N275" s="1704">
        <v>0.11799999999999999</v>
      </c>
      <c r="O275" s="1704">
        <v>5.2999999999999999E-2</v>
      </c>
      <c r="P275" s="1704">
        <v>0</v>
      </c>
      <c r="Q275" s="1704">
        <v>5.2999999999999999E-2</v>
      </c>
    </row>
    <row r="276" spans="3:17">
      <c r="C276" s="1637"/>
      <c r="D276" s="1637"/>
      <c r="E276" s="1637" t="s">
        <v>2087</v>
      </c>
      <c r="F276" s="1637" t="s">
        <v>2407</v>
      </c>
      <c r="G276" s="1637"/>
      <c r="H276" s="1637"/>
      <c r="I276" s="1704">
        <v>2E-3</v>
      </c>
      <c r="J276" s="1704">
        <v>0</v>
      </c>
      <c r="K276" s="1704">
        <v>1.8600000000000001E-3</v>
      </c>
      <c r="L276" s="1704">
        <v>1.4999999999999999E-2</v>
      </c>
      <c r="M276" s="1704">
        <v>0</v>
      </c>
      <c r="N276" s="1704">
        <v>1.4800000000000001E-2</v>
      </c>
      <c r="O276" s="1704">
        <v>5.0000000000000001E-3</v>
      </c>
      <c r="P276" s="1704">
        <v>0</v>
      </c>
      <c r="Q276" s="1704">
        <v>4.8300000000000001E-3</v>
      </c>
    </row>
    <row r="277" spans="3:17">
      <c r="C277" s="1637"/>
      <c r="D277" s="1637" t="s">
        <v>1972</v>
      </c>
      <c r="E277" s="1637" t="s">
        <v>2403</v>
      </c>
      <c r="F277" s="1637" t="s">
        <v>2404</v>
      </c>
      <c r="G277" s="1637"/>
      <c r="H277" s="1637"/>
      <c r="I277" s="1704">
        <v>0.34499999999999997</v>
      </c>
      <c r="J277" s="1704">
        <v>0</v>
      </c>
      <c r="K277" s="1704">
        <v>0</v>
      </c>
      <c r="L277" s="1704">
        <v>0.88800000000000001</v>
      </c>
      <c r="M277" s="1704">
        <v>0</v>
      </c>
      <c r="N277" s="1704">
        <v>0</v>
      </c>
      <c r="O277" s="1704">
        <v>0.86199999999999999</v>
      </c>
      <c r="P277" s="1704">
        <v>0</v>
      </c>
      <c r="Q277" s="1704">
        <v>0</v>
      </c>
    </row>
    <row r="278" spans="3:17">
      <c r="C278" s="1637"/>
      <c r="D278" s="1637"/>
      <c r="E278" s="1637" t="s">
        <v>2405</v>
      </c>
      <c r="F278" s="1637" t="s">
        <v>2404</v>
      </c>
      <c r="G278" s="1637"/>
      <c r="H278" s="1637"/>
      <c r="I278" s="1704">
        <v>0</v>
      </c>
      <c r="J278" s="1704">
        <v>0</v>
      </c>
      <c r="K278" s="1704">
        <v>0.34499999999999997</v>
      </c>
      <c r="L278" s="1704">
        <v>0</v>
      </c>
      <c r="M278" s="1704">
        <v>0</v>
      </c>
      <c r="N278" s="1704">
        <v>0.88800000000000001</v>
      </c>
      <c r="O278" s="1704">
        <v>0</v>
      </c>
      <c r="P278" s="1704">
        <v>0</v>
      </c>
      <c r="Q278" s="1704">
        <v>0.86199999999999999</v>
      </c>
    </row>
    <row r="279" spans="3:17">
      <c r="C279" s="1637"/>
      <c r="D279" s="1637"/>
      <c r="E279" s="1637" t="s">
        <v>2406</v>
      </c>
      <c r="F279" s="1637" t="s">
        <v>2407</v>
      </c>
      <c r="G279" s="1637"/>
      <c r="H279" s="1637"/>
      <c r="I279" s="1704">
        <v>0.13900000000000001</v>
      </c>
      <c r="J279" s="1704">
        <v>0</v>
      </c>
      <c r="K279" s="1704">
        <v>0.13900000000000001</v>
      </c>
      <c r="L279" s="1704">
        <v>1.7000000000000001E-2</v>
      </c>
      <c r="M279" s="1704">
        <v>0</v>
      </c>
      <c r="N279" s="1704">
        <v>1.7000000000000001E-2</v>
      </c>
      <c r="O279" s="1704">
        <v>5.8999999999999997E-2</v>
      </c>
      <c r="P279" s="1704">
        <v>0</v>
      </c>
      <c r="Q279" s="1704">
        <v>5.8999999999999997E-2</v>
      </c>
    </row>
    <row r="280" spans="3:17">
      <c r="C280" s="1705"/>
      <c r="D280" s="1705"/>
      <c r="E280" s="1705" t="s">
        <v>2408</v>
      </c>
      <c r="F280" s="1705" t="s">
        <v>2407</v>
      </c>
      <c r="G280" s="1705"/>
      <c r="H280" s="1705"/>
      <c r="I280" s="1704"/>
      <c r="J280" s="1704">
        <v>0</v>
      </c>
      <c r="K280" s="1704">
        <v>0</v>
      </c>
      <c r="L280" s="1704"/>
      <c r="M280" s="1704">
        <v>0</v>
      </c>
      <c r="N280" s="1704">
        <v>0</v>
      </c>
      <c r="O280" s="1704"/>
      <c r="P280" s="1704">
        <v>0</v>
      </c>
      <c r="Q280" s="1704">
        <v>0</v>
      </c>
    </row>
    <row r="281" spans="3:17">
      <c r="C281" s="1637"/>
      <c r="D281" s="1637"/>
      <c r="E281" s="1637" t="s">
        <v>2409</v>
      </c>
      <c r="F281" s="1637" t="s">
        <v>2407</v>
      </c>
      <c r="G281" s="1637"/>
      <c r="H281" s="1637"/>
      <c r="I281" s="1704">
        <v>0.04</v>
      </c>
      <c r="J281" s="1704">
        <v>0</v>
      </c>
      <c r="K281" s="1704">
        <v>0.04</v>
      </c>
      <c r="L281" s="1704">
        <v>0.11799999999999999</v>
      </c>
      <c r="M281" s="1704">
        <v>0</v>
      </c>
      <c r="N281" s="1704">
        <v>0.11799999999999999</v>
      </c>
      <c r="O281" s="1704">
        <v>0.1</v>
      </c>
      <c r="P281" s="1704">
        <v>0</v>
      </c>
      <c r="Q281" s="1704">
        <v>0.1</v>
      </c>
    </row>
    <row r="282" spans="3:17">
      <c r="C282" s="1637"/>
      <c r="D282" s="1637"/>
      <c r="E282" s="1637" t="s">
        <v>2087</v>
      </c>
      <c r="F282" s="1637" t="s">
        <v>2407</v>
      </c>
      <c r="G282" s="1637"/>
      <c r="H282" s="1637"/>
      <c r="I282" s="1704">
        <v>4.0000000000000001E-3</v>
      </c>
      <c r="J282" s="1704">
        <v>0</v>
      </c>
      <c r="K282" s="1704">
        <v>4.3499999999999997E-3</v>
      </c>
      <c r="L282" s="1704">
        <v>1.4999999999999999E-2</v>
      </c>
      <c r="M282" s="1704">
        <v>0</v>
      </c>
      <c r="N282" s="1704">
        <v>1.4800000000000001E-2</v>
      </c>
      <c r="O282" s="1704">
        <v>1.2E-2</v>
      </c>
      <c r="P282" s="1704">
        <v>0</v>
      </c>
      <c r="Q282" s="1704">
        <v>1.227E-2</v>
      </c>
    </row>
    <row r="283" spans="3:17">
      <c r="C283" s="1637"/>
      <c r="D283" s="1637" t="s">
        <v>478</v>
      </c>
      <c r="E283" s="1637" t="s">
        <v>2403</v>
      </c>
      <c r="F283" s="1637" t="s">
        <v>2404</v>
      </c>
      <c r="G283" s="1637"/>
      <c r="H283" s="1637"/>
      <c r="I283" s="1704">
        <v>0.35399999999999998</v>
      </c>
      <c r="J283" s="1704">
        <v>0</v>
      </c>
      <c r="K283" s="1704">
        <v>0</v>
      </c>
      <c r="L283" s="1704">
        <v>0.77</v>
      </c>
      <c r="M283" s="1704">
        <v>0</v>
      </c>
      <c r="N283" s="1704">
        <v>0</v>
      </c>
      <c r="O283" s="1704">
        <v>0.66900000000000004</v>
      </c>
      <c r="P283" s="1704">
        <v>0</v>
      </c>
      <c r="Q283" s="1704">
        <v>0</v>
      </c>
    </row>
    <row r="284" spans="3:17">
      <c r="C284" s="1637"/>
      <c r="D284" s="1637"/>
      <c r="E284" s="1637" t="s">
        <v>2405</v>
      </c>
      <c r="F284" s="1637" t="s">
        <v>2404</v>
      </c>
      <c r="G284" s="1637"/>
      <c r="H284" s="1637"/>
      <c r="I284" s="1704">
        <v>0</v>
      </c>
      <c r="J284" s="1704">
        <v>0</v>
      </c>
      <c r="K284" s="1704">
        <v>0.35399999999999998</v>
      </c>
      <c r="L284" s="1704">
        <v>0</v>
      </c>
      <c r="M284" s="1704">
        <v>0</v>
      </c>
      <c r="N284" s="1704">
        <v>0.77</v>
      </c>
      <c r="O284" s="1704">
        <v>0</v>
      </c>
      <c r="P284" s="1704">
        <v>0</v>
      </c>
      <c r="Q284" s="1704">
        <v>0.66900000000000004</v>
      </c>
    </row>
    <row r="285" spans="3:17">
      <c r="C285" s="1637"/>
      <c r="D285" s="1637"/>
      <c r="E285" s="1637" t="s">
        <v>2406</v>
      </c>
      <c r="F285" s="1637" t="s">
        <v>2407</v>
      </c>
      <c r="G285" s="1637"/>
      <c r="H285" s="1637"/>
      <c r="I285" s="1704">
        <v>8.7999999999999995E-2</v>
      </c>
      <c r="J285" s="1704">
        <v>0</v>
      </c>
      <c r="K285" s="1704">
        <v>8.7999999999999995E-2</v>
      </c>
      <c r="L285" s="1704">
        <v>0.01</v>
      </c>
      <c r="M285" s="1704">
        <v>0</v>
      </c>
      <c r="N285" s="1704">
        <v>0.01</v>
      </c>
      <c r="O285" s="1704">
        <v>7.6999999999999999E-2</v>
      </c>
      <c r="P285" s="1704">
        <v>0</v>
      </c>
      <c r="Q285" s="1704">
        <v>7.6999999999999999E-2</v>
      </c>
    </row>
    <row r="286" spans="3:17">
      <c r="C286" s="1705"/>
      <c r="D286" s="1705"/>
      <c r="E286" s="1705" t="s">
        <v>2408</v>
      </c>
      <c r="F286" s="1705" t="s">
        <v>2407</v>
      </c>
      <c r="G286" s="1705"/>
      <c r="H286" s="1705"/>
      <c r="I286" s="1704"/>
      <c r="J286" s="1704">
        <v>0</v>
      </c>
      <c r="K286" s="1704">
        <v>0</v>
      </c>
      <c r="L286" s="1704"/>
      <c r="M286" s="1704">
        <v>0</v>
      </c>
      <c r="N286" s="1704">
        <v>0</v>
      </c>
      <c r="O286" s="1704"/>
      <c r="P286" s="1704">
        <v>0</v>
      </c>
      <c r="Q286" s="1704">
        <v>0</v>
      </c>
    </row>
    <row r="287" spans="3:17">
      <c r="C287" s="1637"/>
      <c r="D287" s="1637"/>
      <c r="E287" s="1637" t="s">
        <v>2409</v>
      </c>
      <c r="F287" s="1637" t="s">
        <v>2407</v>
      </c>
      <c r="G287" s="1637"/>
      <c r="H287" s="1637"/>
      <c r="I287" s="1704">
        <v>3.1E-2</v>
      </c>
      <c r="J287" s="1704">
        <v>0</v>
      </c>
      <c r="K287" s="1704">
        <v>3.1E-2</v>
      </c>
      <c r="L287" s="1704">
        <v>0.108</v>
      </c>
      <c r="M287" s="1704">
        <v>0</v>
      </c>
      <c r="N287" s="1704">
        <v>0.108</v>
      </c>
      <c r="O287" s="1704">
        <v>0.08</v>
      </c>
      <c r="P287" s="1704">
        <v>0</v>
      </c>
      <c r="Q287" s="1704">
        <v>0.08</v>
      </c>
    </row>
    <row r="288" spans="3:17">
      <c r="C288" s="1637"/>
      <c r="D288" s="1637"/>
      <c r="E288" s="1637" t="s">
        <v>2087</v>
      </c>
      <c r="F288" s="1637" t="s">
        <v>2407</v>
      </c>
      <c r="G288" s="1637"/>
      <c r="H288" s="1637"/>
      <c r="I288" s="1704">
        <v>2E-3</v>
      </c>
      <c r="J288" s="1704">
        <v>0</v>
      </c>
      <c r="K288" s="1704">
        <v>2.0999999999999999E-3</v>
      </c>
      <c r="L288" s="1704">
        <v>8.9999999999999993E-3</v>
      </c>
      <c r="M288" s="1704">
        <v>0</v>
      </c>
      <c r="N288" s="1704">
        <v>9.1500000000000001E-3</v>
      </c>
      <c r="O288" s="1704">
        <v>7.0000000000000001E-3</v>
      </c>
      <c r="P288" s="1704">
        <v>0</v>
      </c>
      <c r="Q288" s="1704">
        <v>6.6899999999999998E-3</v>
      </c>
    </row>
    <row r="289" spans="3:17">
      <c r="C289" s="1637"/>
      <c r="D289" s="1637" t="s">
        <v>1974</v>
      </c>
      <c r="E289" s="1637" t="s">
        <v>2403</v>
      </c>
      <c r="F289" s="1637" t="s">
        <v>2404</v>
      </c>
      <c r="G289" s="1637"/>
      <c r="H289" s="1637"/>
      <c r="I289" s="1704">
        <v>0.317</v>
      </c>
      <c r="J289" s="1704">
        <v>0</v>
      </c>
      <c r="K289" s="1704">
        <v>0</v>
      </c>
      <c r="L289" s="1704">
        <v>0.76600000000000001</v>
      </c>
      <c r="M289" s="1704">
        <v>0</v>
      </c>
      <c r="N289" s="1704">
        <v>0</v>
      </c>
      <c r="O289" s="1704">
        <v>0.81200000000000006</v>
      </c>
      <c r="P289" s="1704">
        <v>0</v>
      </c>
      <c r="Q289" s="1704">
        <v>0</v>
      </c>
    </row>
    <row r="290" spans="3:17">
      <c r="C290" s="1637"/>
      <c r="D290" s="1637"/>
      <c r="E290" s="1637" t="s">
        <v>2405</v>
      </c>
      <c r="F290" s="1637" t="s">
        <v>2404</v>
      </c>
      <c r="G290" s="1637"/>
      <c r="H290" s="1637"/>
      <c r="I290" s="1704">
        <v>0</v>
      </c>
      <c r="J290" s="1704">
        <v>0</v>
      </c>
      <c r="K290" s="1704">
        <v>0.317</v>
      </c>
      <c r="L290" s="1704">
        <v>0</v>
      </c>
      <c r="M290" s="1704">
        <v>0</v>
      </c>
      <c r="N290" s="1704">
        <v>0.76600000000000001</v>
      </c>
      <c r="O290" s="1704">
        <v>0</v>
      </c>
      <c r="P290" s="1704">
        <v>0</v>
      </c>
      <c r="Q290" s="1704">
        <v>0.81200000000000006</v>
      </c>
    </row>
    <row r="291" spans="3:17">
      <c r="C291" s="1637"/>
      <c r="D291" s="1637"/>
      <c r="E291" s="1637" t="s">
        <v>2406</v>
      </c>
      <c r="F291" s="1637" t="s">
        <v>2407</v>
      </c>
      <c r="G291" s="1637"/>
      <c r="H291" s="1637"/>
      <c r="I291" s="1704">
        <v>7.3999999999999996E-2</v>
      </c>
      <c r="J291" s="1704">
        <v>0</v>
      </c>
      <c r="K291" s="1704">
        <v>7.3999999999999996E-2</v>
      </c>
      <c r="L291" s="1704">
        <v>1.2E-2</v>
      </c>
      <c r="M291" s="1704">
        <v>0</v>
      </c>
      <c r="N291" s="1704">
        <v>1.2E-2</v>
      </c>
      <c r="O291" s="1704">
        <v>0.66</v>
      </c>
      <c r="P291" s="1704">
        <v>0</v>
      </c>
      <c r="Q291" s="1704">
        <v>6.6000000000000003E-2</v>
      </c>
    </row>
    <row r="292" spans="3:17">
      <c r="C292" s="1705"/>
      <c r="D292" s="1705"/>
      <c r="E292" s="1705" t="s">
        <v>2408</v>
      </c>
      <c r="F292" s="1705" t="s">
        <v>2407</v>
      </c>
      <c r="G292" s="1705"/>
      <c r="H292" s="1705"/>
      <c r="I292" s="1704"/>
      <c r="J292" s="1704">
        <v>0</v>
      </c>
      <c r="K292" s="1704">
        <v>0</v>
      </c>
      <c r="L292" s="1704"/>
      <c r="M292" s="1704">
        <v>0</v>
      </c>
      <c r="N292" s="1704">
        <v>0</v>
      </c>
      <c r="O292" s="1704"/>
      <c r="P292" s="1704">
        <v>0</v>
      </c>
      <c r="Q292" s="1704">
        <v>0</v>
      </c>
    </row>
    <row r="293" spans="3:17">
      <c r="C293" s="1637"/>
      <c r="D293" s="1637"/>
      <c r="E293" s="1637" t="s">
        <v>2409</v>
      </c>
      <c r="F293" s="1637" t="s">
        <v>2407</v>
      </c>
      <c r="G293" s="1637"/>
      <c r="H293" s="1637"/>
      <c r="I293" s="1704">
        <v>3.4000000000000002E-2</v>
      </c>
      <c r="J293" s="1704">
        <v>0</v>
      </c>
      <c r="K293" s="1704">
        <v>3.4000000000000002E-2</v>
      </c>
      <c r="L293" s="1704">
        <v>9.6000000000000002E-2</v>
      </c>
      <c r="M293" s="1704">
        <v>0</v>
      </c>
      <c r="N293" s="1704">
        <v>9.6000000000000002E-2</v>
      </c>
      <c r="O293" s="1704">
        <v>8.8999999999999996E-2</v>
      </c>
      <c r="P293" s="1704">
        <v>0</v>
      </c>
      <c r="Q293" s="1704">
        <v>8.8999999999999996E-2</v>
      </c>
    </row>
    <row r="294" spans="3:17">
      <c r="C294" s="1637"/>
      <c r="D294" s="1637"/>
      <c r="E294" s="1637" t="s">
        <v>2087</v>
      </c>
      <c r="F294" s="1637" t="s">
        <v>2407</v>
      </c>
      <c r="G294" s="1637"/>
      <c r="H294" s="1637"/>
      <c r="I294" s="1704">
        <v>2E-3</v>
      </c>
      <c r="J294" s="1704">
        <v>0</v>
      </c>
      <c r="K294" s="1704">
        <v>2E-3</v>
      </c>
      <c r="L294" s="1704">
        <v>1.2999999999999999E-2</v>
      </c>
      <c r="M294" s="1704">
        <v>0</v>
      </c>
      <c r="N294" s="1704">
        <v>1.2999999999999999E-2</v>
      </c>
      <c r="O294" s="1704">
        <v>0.01</v>
      </c>
      <c r="P294" s="1704">
        <v>0</v>
      </c>
      <c r="Q294" s="1704">
        <v>9.6900000000000007E-3</v>
      </c>
    </row>
    <row r="295" spans="3:17">
      <c r="C295" s="1637"/>
      <c r="D295" s="1637" t="s">
        <v>690</v>
      </c>
      <c r="E295" s="1637" t="s">
        <v>2403</v>
      </c>
      <c r="F295" s="1637" t="s">
        <v>2404</v>
      </c>
      <c r="G295" s="1637"/>
      <c r="H295" s="1637"/>
      <c r="I295" s="1704">
        <v>0.436</v>
      </c>
      <c r="J295" s="1704">
        <v>0</v>
      </c>
      <c r="K295" s="1704">
        <v>0</v>
      </c>
      <c r="L295" s="1704">
        <v>0.999</v>
      </c>
      <c r="M295" s="1704">
        <v>0</v>
      </c>
      <c r="N295" s="1704">
        <v>0</v>
      </c>
      <c r="O295" s="1704">
        <v>0.81599999999999995</v>
      </c>
      <c r="P295" s="1704">
        <v>0</v>
      </c>
      <c r="Q295" s="1704">
        <v>0</v>
      </c>
    </row>
    <row r="296" spans="3:17">
      <c r="C296" s="1637"/>
      <c r="D296" s="1637"/>
      <c r="E296" s="1637" t="s">
        <v>2405</v>
      </c>
      <c r="F296" s="1637" t="s">
        <v>2404</v>
      </c>
      <c r="G296" s="1637"/>
      <c r="H296" s="1637"/>
      <c r="I296" s="1704">
        <v>0</v>
      </c>
      <c r="J296" s="1704">
        <v>0</v>
      </c>
      <c r="K296" s="1704">
        <v>0.436</v>
      </c>
      <c r="L296" s="1704">
        <v>0</v>
      </c>
      <c r="M296" s="1704">
        <v>0</v>
      </c>
      <c r="N296" s="1704">
        <v>0.999</v>
      </c>
      <c r="O296" s="1704">
        <v>0</v>
      </c>
      <c r="P296" s="1704">
        <v>0</v>
      </c>
      <c r="Q296" s="1704">
        <v>0.81599999999999995</v>
      </c>
    </row>
    <row r="297" spans="3:17">
      <c r="C297" s="1637"/>
      <c r="D297" s="1637"/>
      <c r="E297" s="1637" t="s">
        <v>2406</v>
      </c>
      <c r="F297" s="1637" t="s">
        <v>2407</v>
      </c>
      <c r="G297" s="1637"/>
      <c r="H297" s="1637"/>
      <c r="I297" s="1704">
        <v>0.10299999999999999</v>
      </c>
      <c r="J297" s="1704">
        <v>0</v>
      </c>
      <c r="K297" s="1704">
        <v>0.10299999999999999</v>
      </c>
      <c r="L297" s="1704">
        <v>4.0000000000000001E-3</v>
      </c>
      <c r="M297" s="1704">
        <v>0</v>
      </c>
      <c r="N297" s="1704">
        <v>4.0000000000000001E-3</v>
      </c>
      <c r="O297" s="1704">
        <v>8.4000000000000005E-2</v>
      </c>
      <c r="P297" s="1704">
        <v>0</v>
      </c>
      <c r="Q297" s="1704">
        <v>8.4000000000000005E-2</v>
      </c>
    </row>
    <row r="298" spans="3:17">
      <c r="C298" s="1705"/>
      <c r="D298" s="1705"/>
      <c r="E298" s="1705" t="s">
        <v>2408</v>
      </c>
      <c r="F298" s="1705" t="s">
        <v>2407</v>
      </c>
      <c r="G298" s="1705"/>
      <c r="H298" s="1705"/>
      <c r="I298" s="1704"/>
      <c r="J298" s="1704">
        <v>0</v>
      </c>
      <c r="K298" s="1704">
        <v>0</v>
      </c>
      <c r="L298" s="1704"/>
      <c r="M298" s="1704">
        <v>0</v>
      </c>
      <c r="N298" s="1704">
        <v>0</v>
      </c>
      <c r="O298" s="1704"/>
      <c r="P298" s="1704">
        <v>0</v>
      </c>
      <c r="Q298" s="1704">
        <v>0</v>
      </c>
    </row>
    <row r="299" spans="3:17">
      <c r="C299" s="1637"/>
      <c r="D299" s="1637"/>
      <c r="E299" s="1637" t="s">
        <v>2409</v>
      </c>
      <c r="F299" s="1637" t="s">
        <v>2407</v>
      </c>
      <c r="G299" s="1637"/>
      <c r="H299" s="1637"/>
      <c r="I299" s="1704">
        <v>3.4000000000000002E-2</v>
      </c>
      <c r="J299" s="1704">
        <v>0</v>
      </c>
      <c r="K299" s="1704">
        <v>3.4000000000000002E-2</v>
      </c>
      <c r="L299" s="1704">
        <v>0.111</v>
      </c>
      <c r="M299" s="1704">
        <v>0</v>
      </c>
      <c r="N299" s="1704">
        <v>0.111</v>
      </c>
      <c r="O299" s="1704">
        <v>9.2999999999999999E-2</v>
      </c>
      <c r="P299" s="1704">
        <v>0</v>
      </c>
      <c r="Q299" s="1704">
        <v>9.2999999999999999E-2</v>
      </c>
    </row>
    <row r="300" spans="3:17">
      <c r="C300" s="1637"/>
      <c r="D300" s="1637"/>
      <c r="E300" s="1637" t="s">
        <v>2087</v>
      </c>
      <c r="F300" s="1637" t="s">
        <v>2407</v>
      </c>
      <c r="G300" s="1637"/>
      <c r="H300" s="1637"/>
      <c r="I300" s="1704">
        <v>5.0000000000000001E-3</v>
      </c>
      <c r="J300" s="1704">
        <v>0</v>
      </c>
      <c r="K300" s="1704">
        <v>4.7099999999999998E-3</v>
      </c>
      <c r="L300" s="1704">
        <v>1.4E-2</v>
      </c>
      <c r="M300" s="1704">
        <v>0</v>
      </c>
      <c r="N300" s="1704">
        <v>1.434E-2</v>
      </c>
      <c r="O300" s="1704">
        <v>1.2E-2</v>
      </c>
      <c r="P300" s="1704">
        <v>0</v>
      </c>
      <c r="Q300" s="1704">
        <v>1.248E-2</v>
      </c>
    </row>
    <row r="301" spans="3:17">
      <c r="C301" s="1637"/>
      <c r="D301" s="1637" t="s">
        <v>2089</v>
      </c>
      <c r="E301" s="1637" t="s">
        <v>2403</v>
      </c>
      <c r="F301" s="1637" t="s">
        <v>2404</v>
      </c>
      <c r="G301" s="1637"/>
      <c r="H301" s="1637"/>
      <c r="I301" s="1704">
        <v>0.32300000000000001</v>
      </c>
      <c r="J301" s="1704">
        <v>0</v>
      </c>
      <c r="K301" s="1704">
        <v>0</v>
      </c>
      <c r="L301" s="1704">
        <v>0.73399999999999999</v>
      </c>
      <c r="M301" s="1704">
        <v>0</v>
      </c>
      <c r="N301" s="1704">
        <v>0</v>
      </c>
      <c r="O301" s="1704">
        <v>0.75</v>
      </c>
      <c r="P301" s="1704">
        <v>0</v>
      </c>
      <c r="Q301" s="1704">
        <v>0</v>
      </c>
    </row>
    <row r="302" spans="3:17">
      <c r="C302" s="1637"/>
      <c r="D302" s="1637"/>
      <c r="E302" s="1637" t="s">
        <v>2405</v>
      </c>
      <c r="F302" s="1637" t="s">
        <v>2404</v>
      </c>
      <c r="G302" s="1637"/>
      <c r="H302" s="1637"/>
      <c r="I302" s="1704">
        <v>0</v>
      </c>
      <c r="J302" s="1704">
        <v>0</v>
      </c>
      <c r="K302" s="1704">
        <v>0.32300000000000001</v>
      </c>
      <c r="L302" s="1704">
        <v>0</v>
      </c>
      <c r="M302" s="1704">
        <v>0</v>
      </c>
      <c r="N302" s="1704">
        <v>0.73399999999999999</v>
      </c>
      <c r="O302" s="1704">
        <v>0</v>
      </c>
      <c r="P302" s="1704">
        <v>0</v>
      </c>
      <c r="Q302" s="1704">
        <v>0.75</v>
      </c>
    </row>
    <row r="303" spans="3:17">
      <c r="C303" s="1637"/>
      <c r="D303" s="1637"/>
      <c r="E303" s="1637" t="s">
        <v>2406</v>
      </c>
      <c r="F303" s="1637" t="s">
        <v>2407</v>
      </c>
      <c r="G303" s="1637"/>
      <c r="H303" s="1637"/>
      <c r="I303" s="1704">
        <v>4.8000000000000001E-2</v>
      </c>
      <c r="J303" s="1704">
        <v>0</v>
      </c>
      <c r="K303" s="1704">
        <v>4.8000000000000001E-2</v>
      </c>
      <c r="L303" s="1704">
        <v>1.2E-2</v>
      </c>
      <c r="M303" s="1704">
        <v>0</v>
      </c>
      <c r="N303" s="1704">
        <v>1.2E-2</v>
      </c>
      <c r="O303" s="1704">
        <v>5.1999999999999998E-2</v>
      </c>
      <c r="P303" s="1704">
        <v>0</v>
      </c>
      <c r="Q303" s="1704">
        <v>5.1999999999999998E-2</v>
      </c>
    </row>
    <row r="304" spans="3:17">
      <c r="C304" s="1705"/>
      <c r="D304" s="1705"/>
      <c r="E304" s="1705" t="s">
        <v>2408</v>
      </c>
      <c r="F304" s="1705" t="s">
        <v>2407</v>
      </c>
      <c r="G304" s="1705"/>
      <c r="H304" s="1705"/>
      <c r="I304" s="1704"/>
      <c r="J304" s="1704">
        <v>0</v>
      </c>
      <c r="K304" s="1704">
        <v>0</v>
      </c>
      <c r="L304" s="1704"/>
      <c r="M304" s="1704">
        <v>0</v>
      </c>
      <c r="N304" s="1704">
        <v>0</v>
      </c>
      <c r="O304" s="1704"/>
      <c r="P304" s="1704">
        <v>0</v>
      </c>
      <c r="Q304" s="1704">
        <v>0</v>
      </c>
    </row>
    <row r="305" spans="3:17">
      <c r="C305" s="1637"/>
      <c r="D305" s="1637"/>
      <c r="E305" s="1637" t="s">
        <v>2409</v>
      </c>
      <c r="F305" s="1637" t="s">
        <v>2407</v>
      </c>
      <c r="G305" s="1637"/>
      <c r="H305" s="1637"/>
      <c r="I305" s="1704">
        <v>1.9E-2</v>
      </c>
      <c r="J305" s="1704">
        <v>0</v>
      </c>
      <c r="K305" s="1704">
        <v>1.9E-2</v>
      </c>
      <c r="L305" s="1704">
        <v>0.1</v>
      </c>
      <c r="M305" s="1704">
        <v>0</v>
      </c>
      <c r="N305" s="1704">
        <v>0.1</v>
      </c>
      <c r="O305" s="1704">
        <v>0.13600000000000001</v>
      </c>
      <c r="P305" s="1704">
        <v>0</v>
      </c>
      <c r="Q305" s="1704">
        <v>0.13600000000000001</v>
      </c>
    </row>
    <row r="306" spans="3:17">
      <c r="C306" s="1637"/>
      <c r="D306" s="1637"/>
      <c r="E306" s="1637" t="s">
        <v>2087</v>
      </c>
      <c r="F306" s="1637" t="s">
        <v>2407</v>
      </c>
      <c r="G306" s="1637"/>
      <c r="H306" s="1637"/>
      <c r="I306" s="1704">
        <v>2E-3</v>
      </c>
      <c r="J306" s="1704">
        <v>0</v>
      </c>
      <c r="K306" s="1704">
        <v>1.98E-3</v>
      </c>
      <c r="L306" s="1704">
        <v>1.2999999999999999E-2</v>
      </c>
      <c r="M306" s="1704">
        <v>0</v>
      </c>
      <c r="N306" s="1704">
        <v>1.329E-2</v>
      </c>
      <c r="O306" s="1704">
        <v>0.125</v>
      </c>
      <c r="P306" s="1704">
        <v>0</v>
      </c>
      <c r="Q306" s="1704">
        <v>0.12509999999999999</v>
      </c>
    </row>
    <row r="307" spans="3:17">
      <c r="C307" s="1642" t="s">
        <v>2611</v>
      </c>
      <c r="D307" s="1642"/>
      <c r="E307" s="1637"/>
      <c r="F307" s="1637"/>
      <c r="G307" s="1637"/>
      <c r="H307" s="1637"/>
      <c r="I307" s="1637"/>
      <c r="J307" s="1702"/>
      <c r="K307" s="1702"/>
      <c r="L307" s="1702"/>
      <c r="M307" s="1702"/>
      <c r="N307" s="1702"/>
      <c r="O307" s="1702"/>
      <c r="P307" s="1702"/>
      <c r="Q307" s="1702"/>
    </row>
    <row r="308" spans="3:17">
      <c r="C308" s="1637"/>
      <c r="D308" s="1642" t="s">
        <v>2612</v>
      </c>
      <c r="E308" s="1637"/>
      <c r="F308" s="1637"/>
      <c r="G308" s="1637"/>
      <c r="H308" s="1637"/>
      <c r="I308" s="1697">
        <v>25</v>
      </c>
      <c r="J308" s="1702" t="s">
        <v>2613</v>
      </c>
      <c r="K308" s="1702"/>
      <c r="L308" s="1702"/>
      <c r="M308" s="1702"/>
      <c r="N308" s="1702"/>
      <c r="O308" s="1702"/>
      <c r="P308" s="1702"/>
      <c r="Q308" s="1702"/>
    </row>
    <row r="309" spans="3:17" hidden="1">
      <c r="C309" s="1637"/>
      <c r="D309" s="1652" t="s">
        <v>2614</v>
      </c>
      <c r="E309" s="1637"/>
      <c r="F309" s="1637"/>
      <c r="G309" s="1637"/>
      <c r="H309" s="1637"/>
      <c r="I309" s="1697"/>
      <c r="J309" s="1702"/>
      <c r="K309" s="1702"/>
      <c r="L309" s="1702"/>
      <c r="M309" s="1702"/>
      <c r="N309" s="1702"/>
      <c r="O309" s="1702"/>
      <c r="P309" s="1702"/>
      <c r="Q309" s="1702"/>
    </row>
    <row r="310" spans="3:17">
      <c r="C310" s="1637"/>
      <c r="D310" s="1642" t="s">
        <v>2615</v>
      </c>
      <c r="E310" s="1637"/>
      <c r="F310" s="1642"/>
      <c r="G310" s="1637"/>
      <c r="H310" s="1637"/>
      <c r="I310" s="1697">
        <v>18</v>
      </c>
      <c r="J310" s="1702" t="s">
        <v>2613</v>
      </c>
      <c r="K310" s="1702"/>
      <c r="L310" s="1702"/>
      <c r="M310" s="1702"/>
      <c r="N310" s="1702"/>
      <c r="O310" s="1702"/>
      <c r="P310" s="1702"/>
      <c r="Q310" s="1702"/>
    </row>
    <row r="311" spans="3:17">
      <c r="C311" s="1637"/>
      <c r="D311" s="1642" t="s">
        <v>2616</v>
      </c>
      <c r="E311" s="1637"/>
      <c r="F311" s="1642"/>
      <c r="G311" s="1637"/>
      <c r="H311" s="1637"/>
      <c r="I311" s="1697">
        <v>15</v>
      </c>
      <c r="J311" s="1702" t="s">
        <v>2613</v>
      </c>
      <c r="K311" s="1702"/>
      <c r="L311" s="1702"/>
      <c r="M311" s="1702"/>
      <c r="N311" s="1702"/>
      <c r="O311" s="1702"/>
      <c r="P311" s="1702"/>
      <c r="Q311" s="1702"/>
    </row>
    <row r="312" spans="3:17">
      <c r="C312" s="1637"/>
      <c r="D312" s="1642"/>
      <c r="E312" s="1637"/>
      <c r="F312" s="1637"/>
      <c r="G312" s="1637"/>
      <c r="H312" s="1637"/>
      <c r="I312" s="1637"/>
      <c r="J312" s="1637"/>
      <c r="K312" s="1702"/>
      <c r="L312" s="1702"/>
      <c r="M312" s="1702"/>
      <c r="N312" s="1702"/>
      <c r="O312" s="1702"/>
      <c r="P312" s="1702"/>
      <c r="Q312" s="1702"/>
    </row>
    <row r="313" spans="3:17">
      <c r="C313" s="1637" t="s">
        <v>2617</v>
      </c>
      <c r="D313" s="1637"/>
      <c r="E313" s="1637"/>
      <c r="F313" s="1637"/>
      <c r="G313" s="1637"/>
      <c r="H313" s="1637"/>
      <c r="I313" s="1637"/>
      <c r="J313" s="1637"/>
      <c r="K313" s="1637"/>
      <c r="L313" s="1637"/>
      <c r="M313" s="1637"/>
      <c r="N313" s="1637"/>
      <c r="O313" s="1637"/>
      <c r="P313" s="1637"/>
      <c r="Q313" s="1637"/>
    </row>
    <row r="314" spans="3:17">
      <c r="C314" s="1637"/>
      <c r="D314" s="1637" t="s">
        <v>2612</v>
      </c>
      <c r="E314" s="1637"/>
      <c r="F314" s="1637"/>
      <c r="G314" s="1637"/>
      <c r="H314" s="1637"/>
      <c r="I314" s="1696">
        <v>0.01</v>
      </c>
      <c r="J314" s="1637" t="s">
        <v>2618</v>
      </c>
      <c r="K314" s="1637"/>
      <c r="L314" s="1637"/>
      <c r="M314" s="1637"/>
      <c r="N314" s="1637"/>
      <c r="O314" s="1637"/>
      <c r="P314" s="1637"/>
      <c r="Q314" s="1637"/>
    </row>
    <row r="315" spans="3:17">
      <c r="C315" s="1637"/>
      <c r="D315" s="1637" t="s">
        <v>2615</v>
      </c>
      <c r="E315" s="1637"/>
      <c r="F315" s="1637"/>
      <c r="G315" s="1637"/>
      <c r="H315" s="1637"/>
      <c r="I315" s="1696">
        <v>0.01</v>
      </c>
      <c r="J315" s="1637" t="s">
        <v>2618</v>
      </c>
      <c r="K315" s="1637"/>
      <c r="L315" s="1637"/>
      <c r="M315" s="1637"/>
      <c r="N315" s="1637"/>
      <c r="O315" s="1637"/>
      <c r="P315" s="1637"/>
      <c r="Q315" s="1637"/>
    </row>
    <row r="316" spans="3:17">
      <c r="C316" s="1637"/>
      <c r="D316" s="1637" t="s">
        <v>2616</v>
      </c>
      <c r="E316" s="1637"/>
      <c r="F316" s="1637"/>
      <c r="G316" s="1637"/>
      <c r="H316" s="1637"/>
      <c r="I316" s="1696">
        <v>0.02</v>
      </c>
      <c r="J316" s="1637" t="s">
        <v>2618</v>
      </c>
      <c r="K316" s="1637"/>
      <c r="L316" s="1637"/>
      <c r="M316" s="1637"/>
      <c r="N316" s="1637"/>
      <c r="O316" s="1637"/>
      <c r="P316" s="1637"/>
      <c r="Q316" s="1637"/>
    </row>
    <row r="317" spans="3:17"/>
    <row r="318" spans="3:17" hidden="1"/>
    <row r="319" spans="3:17" hidden="1"/>
    <row r="320" spans="3:17"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sheetData>
  <sheetProtection algorithmName="SHA-512" hashValue="HQ5rViH3lrIzOjVBSPvVvV477D4DEaBFb7TThDb1X/ubea2usVZldUvykiTkHxDO6csxnvN1oZORYMKrh4d8IA==" saltValue="/9TeujZWHs4iuoOd6ziknQ==" spinCount="100000" sheet="1" objects="1" scenarios="1"/>
  <phoneticPr fontId="22"/>
  <conditionalFormatting sqref="D6">
    <cfRule type="cellIs" dxfId="8" priority="7" stopIfTrue="1" operator="equal">
      <formula>5</formula>
    </cfRule>
    <cfRule type="cellIs" dxfId="7" priority="8" stopIfTrue="1" operator="equal">
      <formula>4</formula>
    </cfRule>
    <cfRule type="cellIs" dxfId="6" priority="9" stopIfTrue="1" operator="equal">
      <formula>2</formula>
    </cfRule>
  </conditionalFormatting>
  <conditionalFormatting sqref="D63">
    <cfRule type="cellIs" dxfId="5" priority="4" stopIfTrue="1" operator="equal">
      <formula>5</formula>
    </cfRule>
    <cfRule type="cellIs" dxfId="4" priority="5" stopIfTrue="1" operator="equal">
      <formula>4</formula>
    </cfRule>
    <cfRule type="cellIs" dxfId="3" priority="6" stopIfTrue="1" operator="equal">
      <formula>2</formula>
    </cfRule>
  </conditionalFormatting>
  <conditionalFormatting sqref="D4">
    <cfRule type="cellIs" dxfId="2" priority="1" stopIfTrue="1" operator="equal">
      <formula>5</formula>
    </cfRule>
    <cfRule type="cellIs" dxfId="1" priority="2" stopIfTrue="1" operator="equal">
      <formula>4</formula>
    </cfRule>
    <cfRule type="cellIs" dxfId="0"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58" fitToHeight="0" orientation="portrait" verticalDpi="300" r:id="rId1"/>
  <headerFooter alignWithMargins="0">
    <oddHeader>&amp;L&amp;F&amp;R&amp;A</oddHeader>
    <oddFooter>&amp;C&amp;P/&amp;N</oddFooter>
  </headerFooter>
  <rowBreaks count="2" manualBreakCount="2">
    <brk id="92" max="17" man="1"/>
    <brk id="237"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S152"/>
  <sheetViews>
    <sheetView showGridLines="0" zoomScaleNormal="100" workbookViewId="0">
      <selection activeCell="H15" sqref="H15"/>
    </sheetView>
  </sheetViews>
  <sheetFormatPr defaultColWidth="0" defaultRowHeight="13.5" customHeight="1" zeroHeight="1"/>
  <cols>
    <col min="1" max="1" width="1.08984375" style="901" customWidth="1"/>
    <col min="2" max="18" width="8.7265625" style="901" customWidth="1"/>
    <col min="19" max="19" width="1.453125" style="901" customWidth="1"/>
    <col min="20" max="16384" width="8.7265625" style="901" hidden="1"/>
  </cols>
  <sheetData>
    <row r="1" spans="2:18" ht="13.5" customHeight="1">
      <c r="B1" s="2012"/>
      <c r="C1" s="2012"/>
      <c r="D1" s="2012"/>
      <c r="E1" s="2012"/>
      <c r="F1" s="2012"/>
      <c r="G1" s="2012"/>
      <c r="H1" s="2012"/>
      <c r="I1" s="2012"/>
      <c r="J1" s="2012"/>
      <c r="K1" s="2012"/>
      <c r="L1" s="2012"/>
      <c r="M1" s="2012"/>
      <c r="N1" s="2012"/>
      <c r="O1" s="2012"/>
      <c r="P1" s="2012"/>
      <c r="Q1" s="2012"/>
      <c r="R1" s="2012"/>
    </row>
    <row r="2" spans="2:18" ht="13.5" customHeight="1">
      <c r="B2" s="2012"/>
      <c r="C2" s="2012"/>
      <c r="D2" s="2012"/>
      <c r="E2" s="2012"/>
      <c r="F2" s="2012"/>
      <c r="G2" s="2012"/>
      <c r="H2" s="2012"/>
      <c r="I2" s="2012"/>
      <c r="J2" s="2012"/>
      <c r="K2" s="2012"/>
      <c r="L2" s="2012"/>
      <c r="M2" s="2012"/>
      <c r="N2" s="2012"/>
      <c r="O2" s="2012"/>
      <c r="P2" s="2012"/>
      <c r="Q2" s="2012"/>
      <c r="R2" s="2012"/>
    </row>
    <row r="3" spans="2:18" ht="13.5" customHeight="1">
      <c r="B3" s="2012"/>
      <c r="C3" s="2012"/>
      <c r="D3" s="2012"/>
      <c r="E3" s="2012"/>
      <c r="F3" s="2012"/>
      <c r="G3" s="2012"/>
      <c r="H3" s="2012"/>
      <c r="I3" s="2012"/>
      <c r="J3" s="2012"/>
      <c r="K3" s="2012"/>
      <c r="L3" s="2012"/>
      <c r="M3" s="2012"/>
      <c r="N3" s="2012"/>
      <c r="O3" s="2012"/>
      <c r="P3" s="2012"/>
      <c r="Q3" s="2012"/>
      <c r="R3" s="2012"/>
    </row>
    <row r="4" spans="2:18" ht="13.5" customHeight="1">
      <c r="B4" s="2012"/>
      <c r="C4" s="2012"/>
      <c r="D4" s="2012"/>
      <c r="E4" s="2012"/>
      <c r="F4" s="2012"/>
      <c r="G4" s="2012"/>
      <c r="H4" s="2012"/>
      <c r="I4" s="2012"/>
      <c r="J4" s="2012"/>
      <c r="K4" s="2012"/>
      <c r="L4" s="2012"/>
      <c r="M4" s="2012"/>
      <c r="N4" s="2012"/>
      <c r="O4" s="2012"/>
      <c r="P4" s="2012"/>
      <c r="Q4" s="2012"/>
      <c r="R4" s="2012"/>
    </row>
    <row r="5" spans="2:18" ht="13.5" customHeight="1">
      <c r="B5" s="2012"/>
      <c r="C5" s="2012"/>
      <c r="D5" s="2012"/>
      <c r="E5" s="2012"/>
      <c r="F5" s="2012"/>
      <c r="G5" s="2012"/>
      <c r="H5" s="2012"/>
      <c r="I5" s="2012"/>
      <c r="J5" s="2012"/>
      <c r="K5" s="2012"/>
      <c r="L5" s="2012"/>
      <c r="M5" s="2012"/>
      <c r="N5" s="2012"/>
      <c r="O5" s="2012"/>
      <c r="P5" s="2012"/>
      <c r="Q5" s="2012"/>
      <c r="R5" s="2012"/>
    </row>
    <row r="6" spans="2:18" ht="13.5" customHeight="1">
      <c r="B6" s="2012"/>
      <c r="C6" s="2012"/>
      <c r="D6" s="2012"/>
      <c r="E6" s="2012"/>
      <c r="F6" s="2012"/>
      <c r="G6" s="2012"/>
      <c r="H6" s="2012"/>
      <c r="I6" s="2012"/>
      <c r="J6" s="2012"/>
      <c r="K6" s="2012"/>
      <c r="L6" s="2012"/>
      <c r="M6" s="2012"/>
      <c r="N6" s="2012"/>
      <c r="O6" s="2012"/>
      <c r="P6" s="2012"/>
      <c r="Q6" s="2012"/>
      <c r="R6" s="2012"/>
    </row>
    <row r="7" spans="2:18" ht="13.5" customHeight="1">
      <c r="B7" s="2012"/>
      <c r="C7" s="2012"/>
      <c r="D7" s="2012"/>
      <c r="E7" s="2012"/>
      <c r="F7" s="2012"/>
      <c r="G7" s="2012"/>
      <c r="H7" s="2012"/>
      <c r="I7" s="2012"/>
      <c r="J7" s="2012"/>
      <c r="K7" s="2012"/>
      <c r="L7" s="2012"/>
      <c r="M7" s="2012"/>
      <c r="N7" s="2012"/>
      <c r="O7" s="2012"/>
      <c r="P7" s="2012"/>
      <c r="Q7" s="2012"/>
      <c r="R7" s="2012"/>
    </row>
    <row r="8" spans="2:18" ht="13.5" customHeight="1">
      <c r="B8" s="2012"/>
      <c r="C8" s="2012"/>
      <c r="D8" s="2012"/>
      <c r="E8" s="2012"/>
      <c r="F8" s="2012"/>
      <c r="G8" s="2012"/>
      <c r="H8" s="2012"/>
      <c r="I8" s="2012"/>
      <c r="J8" s="2012"/>
      <c r="K8" s="2012"/>
      <c r="L8" s="2012"/>
      <c r="M8" s="2012"/>
      <c r="N8" s="2012"/>
      <c r="O8" s="2012"/>
      <c r="P8" s="2012"/>
      <c r="Q8" s="2012"/>
      <c r="R8" s="2012"/>
    </row>
    <row r="9" spans="2:18" ht="13.5" customHeight="1">
      <c r="B9" s="2012"/>
      <c r="C9" s="2012"/>
      <c r="D9" s="2012"/>
      <c r="E9" s="2012"/>
      <c r="F9" s="2012"/>
      <c r="G9" s="2012"/>
      <c r="H9" s="2012"/>
      <c r="I9" s="2012"/>
      <c r="J9" s="2012"/>
      <c r="K9" s="2012"/>
      <c r="L9" s="2012"/>
      <c r="M9" s="2012"/>
      <c r="N9" s="2012"/>
      <c r="O9" s="2012"/>
      <c r="P9" s="2012"/>
      <c r="Q9" s="2012"/>
      <c r="R9" s="2012"/>
    </row>
    <row r="10" spans="2:18" ht="13.5" customHeight="1">
      <c r="B10" s="2012"/>
      <c r="C10" s="2012"/>
      <c r="D10" s="2012"/>
      <c r="E10" s="2012"/>
      <c r="F10" s="2012"/>
      <c r="G10" s="2012"/>
      <c r="H10" s="2012"/>
      <c r="I10" s="2012"/>
      <c r="J10" s="2012"/>
      <c r="K10" s="2012"/>
      <c r="L10" s="2012"/>
      <c r="M10" s="2012"/>
      <c r="N10" s="2012"/>
      <c r="O10" s="2012"/>
      <c r="P10" s="2012"/>
      <c r="Q10" s="2012"/>
      <c r="R10" s="2012"/>
    </row>
    <row r="11" spans="2:18" ht="13.5" customHeight="1">
      <c r="B11" s="2012"/>
      <c r="C11" s="2012"/>
      <c r="D11" s="2012"/>
      <c r="E11" s="2012"/>
      <c r="F11" s="2012"/>
      <c r="G11" s="2012"/>
      <c r="H11" s="2012"/>
      <c r="I11" s="2012"/>
      <c r="J11" s="2012"/>
      <c r="K11" s="2012"/>
      <c r="L11" s="2012"/>
      <c r="M11" s="2012"/>
      <c r="N11" s="2012"/>
      <c r="O11" s="2012"/>
      <c r="P11" s="2012"/>
      <c r="Q11" s="2012"/>
      <c r="R11" s="2012"/>
    </row>
    <row r="12" spans="2:18" ht="13.5" customHeight="1">
      <c r="B12" s="2012"/>
      <c r="C12" s="2012"/>
      <c r="D12" s="2012"/>
      <c r="E12" s="2012"/>
      <c r="F12" s="2012"/>
      <c r="G12" s="2012"/>
      <c r="H12" s="2012"/>
      <c r="I12" s="2012"/>
      <c r="J12" s="2012"/>
      <c r="K12" s="2012"/>
      <c r="L12" s="2012"/>
      <c r="M12" s="2012"/>
      <c r="N12" s="2012"/>
      <c r="O12" s="2012"/>
      <c r="P12" s="2012"/>
      <c r="Q12" s="2012"/>
      <c r="R12" s="2012"/>
    </row>
    <row r="13" spans="2:18" ht="19">
      <c r="B13" s="2012"/>
      <c r="C13" s="2012"/>
      <c r="D13" s="2012"/>
      <c r="E13" s="2013"/>
      <c r="F13" s="2012"/>
      <c r="G13" s="2012"/>
      <c r="H13" s="2012"/>
      <c r="I13" s="2012"/>
      <c r="J13" s="2012"/>
      <c r="K13" s="2012"/>
      <c r="L13" s="2012"/>
      <c r="M13" s="2012"/>
      <c r="N13" s="2012"/>
      <c r="O13" s="2012"/>
      <c r="P13" s="2012"/>
      <c r="Q13" s="2012"/>
      <c r="R13" s="2012"/>
    </row>
    <row r="14" spans="2:18" ht="13.5" customHeight="1">
      <c r="B14" s="2012"/>
      <c r="C14" s="2012"/>
      <c r="D14" s="2012"/>
      <c r="E14" s="2012"/>
      <c r="F14" s="2012"/>
      <c r="G14" s="2012"/>
      <c r="H14" s="2012"/>
      <c r="I14" s="2012"/>
      <c r="J14" s="2012"/>
      <c r="K14" s="2012"/>
      <c r="L14" s="2012"/>
      <c r="M14" s="2012"/>
      <c r="N14" s="2012"/>
      <c r="O14" s="2012"/>
      <c r="P14" s="2012"/>
      <c r="Q14" s="2012"/>
      <c r="R14" s="2012"/>
    </row>
    <row r="15" spans="2:18" ht="13.5" customHeight="1">
      <c r="B15" s="2012"/>
      <c r="C15" s="2012"/>
      <c r="D15" s="2012"/>
      <c r="E15" s="2012"/>
      <c r="F15" s="2012"/>
      <c r="G15" s="2012"/>
      <c r="H15" s="2012"/>
      <c r="I15" s="2012"/>
      <c r="J15" s="2012"/>
      <c r="K15" s="2012"/>
      <c r="L15" s="2012"/>
      <c r="M15" s="2012"/>
      <c r="N15" s="2012"/>
      <c r="O15" s="2012"/>
      <c r="P15" s="2012"/>
      <c r="Q15" s="2012"/>
      <c r="R15" s="2012"/>
    </row>
    <row r="16" spans="2:18" ht="13.5" customHeight="1">
      <c r="B16" s="2012"/>
      <c r="C16" s="2012"/>
      <c r="D16" s="2012"/>
      <c r="E16" s="2012"/>
      <c r="F16" s="2012"/>
      <c r="G16" s="2012"/>
      <c r="H16" s="2012"/>
      <c r="I16" s="2012"/>
      <c r="J16" s="2012"/>
      <c r="K16" s="2012"/>
      <c r="L16" s="2012"/>
      <c r="M16" s="2012"/>
      <c r="N16" s="2012"/>
      <c r="O16" s="2012"/>
      <c r="P16" s="2012"/>
      <c r="Q16" s="2012"/>
      <c r="R16" s="2012"/>
    </row>
    <row r="17" spans="2:18" ht="13.5" customHeight="1">
      <c r="B17" s="2012"/>
      <c r="C17" s="2012"/>
      <c r="D17" s="2012"/>
      <c r="E17" s="2012"/>
      <c r="F17" s="2012"/>
      <c r="G17" s="2012"/>
      <c r="H17" s="2012"/>
      <c r="I17" s="2012"/>
      <c r="J17" s="2012"/>
      <c r="K17" s="2012"/>
      <c r="L17" s="2012"/>
      <c r="M17" s="2012"/>
      <c r="N17" s="2012"/>
      <c r="O17" s="2012"/>
      <c r="P17" s="2012"/>
      <c r="Q17" s="2012"/>
      <c r="R17" s="2012"/>
    </row>
    <row r="18" spans="2:18" ht="13.5" customHeight="1">
      <c r="B18" s="2012"/>
      <c r="C18" s="2012"/>
      <c r="D18" s="2012"/>
      <c r="E18" s="2012"/>
      <c r="F18" s="2012"/>
      <c r="G18" s="2012"/>
      <c r="H18" s="2012"/>
      <c r="I18" s="2012"/>
      <c r="J18" s="2012"/>
      <c r="K18" s="2012"/>
      <c r="L18" s="2012"/>
      <c r="M18" s="2012"/>
      <c r="N18" s="2012"/>
      <c r="O18" s="2012"/>
      <c r="P18" s="2012"/>
      <c r="Q18" s="2012"/>
      <c r="R18" s="2012"/>
    </row>
    <row r="19" spans="2:18" ht="13.5" customHeight="1">
      <c r="B19" s="2012"/>
      <c r="C19" s="2012"/>
      <c r="D19" s="2012"/>
      <c r="E19" s="2012"/>
      <c r="F19" s="2012"/>
      <c r="G19" s="2012"/>
      <c r="H19" s="2012"/>
      <c r="I19" s="2012"/>
      <c r="J19" s="2012"/>
      <c r="K19" s="2012"/>
      <c r="L19" s="2012"/>
      <c r="M19" s="2012"/>
      <c r="N19" s="2012"/>
      <c r="O19" s="2012"/>
      <c r="P19" s="2012"/>
      <c r="Q19" s="2012"/>
      <c r="R19" s="2012"/>
    </row>
    <row r="20" spans="2:18" ht="13.5" customHeight="1">
      <c r="B20" s="2012"/>
      <c r="C20" s="2012"/>
      <c r="D20" s="2012"/>
      <c r="E20" s="2012"/>
      <c r="F20" s="2012"/>
      <c r="G20" s="2012"/>
      <c r="H20" s="2012"/>
      <c r="I20" s="2012"/>
      <c r="J20" s="2012"/>
      <c r="K20" s="2012"/>
      <c r="L20" s="2012"/>
      <c r="M20" s="2012"/>
      <c r="N20" s="2012"/>
      <c r="O20" s="2012"/>
      <c r="P20" s="2012"/>
      <c r="Q20" s="2012"/>
      <c r="R20" s="2012"/>
    </row>
    <row r="21" spans="2:18" ht="13.5" customHeight="1">
      <c r="B21" s="2012"/>
      <c r="C21" s="2012"/>
      <c r="D21" s="2012"/>
      <c r="E21" s="2012"/>
      <c r="F21" s="2012"/>
      <c r="G21" s="2012"/>
      <c r="H21" s="2012"/>
      <c r="I21" s="2012"/>
      <c r="J21" s="2012"/>
      <c r="K21" s="2012"/>
      <c r="L21" s="2012"/>
      <c r="M21" s="2012"/>
      <c r="N21" s="2012"/>
      <c r="O21" s="2012"/>
      <c r="P21" s="2012"/>
      <c r="Q21" s="2012"/>
      <c r="R21" s="2012"/>
    </row>
    <row r="22" spans="2:18" ht="13.5" customHeight="1">
      <c r="B22" s="2012"/>
      <c r="C22" s="2012"/>
      <c r="D22" s="2012"/>
      <c r="E22" s="2012"/>
      <c r="F22" s="2012"/>
      <c r="G22" s="2012"/>
      <c r="H22" s="2012"/>
      <c r="I22" s="2012"/>
      <c r="J22" s="2012"/>
      <c r="K22" s="2012"/>
      <c r="L22" s="2012"/>
      <c r="M22" s="2012"/>
      <c r="N22" s="2012"/>
      <c r="O22" s="2012"/>
      <c r="P22" s="2012"/>
      <c r="Q22" s="2012"/>
      <c r="R22" s="2012"/>
    </row>
    <row r="23" spans="2:18" ht="13.5" customHeight="1">
      <c r="B23" s="2012"/>
      <c r="C23" s="2012"/>
      <c r="D23" s="2012"/>
      <c r="E23" s="2012"/>
      <c r="F23" s="2012"/>
      <c r="G23" s="2012"/>
      <c r="H23" s="2012"/>
      <c r="I23" s="2012"/>
      <c r="J23" s="2012"/>
      <c r="K23" s="2012"/>
      <c r="L23" s="2012"/>
      <c r="M23" s="2012"/>
      <c r="N23" s="2012"/>
      <c r="O23" s="2012"/>
      <c r="P23" s="2012"/>
      <c r="Q23" s="2012"/>
      <c r="R23" s="2012"/>
    </row>
    <row r="24" spans="2:18" ht="13.5" customHeight="1">
      <c r="B24" s="2012"/>
      <c r="C24" s="2012"/>
      <c r="D24" s="2012"/>
      <c r="E24" s="2012"/>
      <c r="F24" s="2012"/>
      <c r="G24" s="2012"/>
      <c r="H24" s="2012"/>
      <c r="I24" s="2012"/>
      <c r="J24" s="2012"/>
      <c r="K24" s="2012"/>
      <c r="L24" s="2012"/>
      <c r="M24" s="2012"/>
      <c r="N24" s="2012"/>
      <c r="O24" s="2012"/>
      <c r="P24" s="2012"/>
      <c r="Q24" s="2012"/>
      <c r="R24" s="2012"/>
    </row>
    <row r="25" spans="2:18" ht="13.5" customHeight="1">
      <c r="B25" s="2012"/>
      <c r="C25" s="2012"/>
      <c r="D25" s="2012"/>
      <c r="E25" s="2012"/>
      <c r="F25" s="2012"/>
      <c r="G25" s="2012"/>
      <c r="H25" s="2012"/>
      <c r="I25" s="2012"/>
      <c r="J25" s="2012"/>
      <c r="K25" s="2012"/>
      <c r="L25" s="2012"/>
      <c r="M25" s="2012"/>
      <c r="N25" s="2012"/>
      <c r="O25" s="2012"/>
      <c r="P25" s="2012"/>
      <c r="Q25" s="2012"/>
      <c r="R25" s="2012"/>
    </row>
    <row r="26" spans="2:18" ht="13.5" customHeight="1">
      <c r="B26" s="2012"/>
      <c r="C26" s="2012"/>
      <c r="D26" s="2012"/>
      <c r="E26" s="2012"/>
      <c r="F26" s="2012"/>
      <c r="G26" s="2012"/>
      <c r="H26" s="2012"/>
      <c r="I26" s="2012"/>
      <c r="J26" s="2012"/>
      <c r="K26" s="2012"/>
      <c r="L26" s="2012"/>
      <c r="M26" s="2012"/>
      <c r="N26" s="2012"/>
      <c r="O26" s="2012"/>
      <c r="P26" s="2012"/>
      <c r="Q26" s="2012"/>
      <c r="R26" s="2012"/>
    </row>
    <row r="27" spans="2:18" ht="13.5" customHeight="1">
      <c r="B27" s="2012"/>
      <c r="C27" s="2012"/>
      <c r="D27" s="2012"/>
      <c r="E27" s="2012"/>
      <c r="F27" s="2012"/>
      <c r="G27" s="2012"/>
      <c r="H27" s="2012"/>
      <c r="I27" s="2012"/>
      <c r="J27" s="2012"/>
      <c r="K27" s="2012"/>
      <c r="L27" s="2012"/>
      <c r="M27" s="2012"/>
      <c r="N27" s="2012"/>
      <c r="O27" s="2012"/>
      <c r="P27" s="2012"/>
      <c r="Q27" s="2012"/>
      <c r="R27" s="2012"/>
    </row>
    <row r="28" spans="2:18" ht="13.5" customHeight="1">
      <c r="B28" s="2012"/>
      <c r="C28" s="2012"/>
      <c r="D28" s="2012"/>
      <c r="E28" s="2012"/>
      <c r="F28" s="2012"/>
      <c r="G28" s="2012"/>
      <c r="H28" s="2012"/>
      <c r="I28" s="2012"/>
      <c r="J28" s="2012"/>
      <c r="K28" s="2012"/>
      <c r="L28" s="2012"/>
      <c r="M28" s="2012"/>
      <c r="N28" s="2012"/>
      <c r="O28" s="2012"/>
      <c r="P28" s="2012"/>
      <c r="Q28" s="2012"/>
      <c r="R28" s="2012"/>
    </row>
    <row r="29" spans="2:18" ht="13.5" customHeight="1">
      <c r="B29" s="2012"/>
      <c r="C29" s="2012"/>
      <c r="D29" s="2012"/>
      <c r="E29" s="2012"/>
      <c r="F29" s="2012"/>
      <c r="G29" s="2012"/>
      <c r="H29" s="2012"/>
      <c r="I29" s="2012"/>
      <c r="J29" s="2012"/>
      <c r="K29" s="2012"/>
      <c r="L29" s="2012"/>
      <c r="M29" s="2012"/>
      <c r="N29" s="2012"/>
      <c r="O29" s="2012"/>
      <c r="P29" s="2012"/>
      <c r="Q29" s="2012"/>
      <c r="R29" s="2012"/>
    </row>
    <row r="30" spans="2:18" ht="13.5" customHeight="1">
      <c r="B30" s="2012"/>
      <c r="C30" s="2012"/>
      <c r="D30" s="2012"/>
      <c r="E30" s="2012"/>
      <c r="F30" s="2012"/>
      <c r="G30" s="2012"/>
      <c r="H30" s="2012"/>
      <c r="I30" s="2012"/>
      <c r="J30" s="2012"/>
      <c r="K30" s="2012"/>
      <c r="L30" s="2012"/>
      <c r="M30" s="2012"/>
      <c r="N30" s="2012"/>
      <c r="O30" s="2012"/>
      <c r="P30" s="2012"/>
      <c r="Q30" s="2012"/>
      <c r="R30" s="2012"/>
    </row>
    <row r="31" spans="2:18" ht="13.5" customHeight="1">
      <c r="B31" s="2012"/>
      <c r="C31" s="2012"/>
      <c r="D31" s="2012"/>
      <c r="E31" s="2012"/>
      <c r="F31" s="2012"/>
      <c r="G31" s="2012"/>
      <c r="H31" s="2012"/>
      <c r="I31" s="2012"/>
      <c r="J31" s="2012"/>
      <c r="K31" s="2012"/>
      <c r="L31" s="2012"/>
      <c r="M31" s="2012"/>
      <c r="N31" s="2012"/>
      <c r="O31" s="2012"/>
      <c r="P31" s="2012"/>
      <c r="Q31" s="2012"/>
      <c r="R31" s="2012"/>
    </row>
    <row r="32" spans="2:18" ht="13.5" customHeight="1">
      <c r="B32" s="2012"/>
      <c r="C32" s="2012"/>
      <c r="D32" s="2012"/>
      <c r="E32" s="2012"/>
      <c r="F32" s="2012"/>
      <c r="G32" s="2012"/>
      <c r="H32" s="2012"/>
      <c r="I32" s="2012"/>
      <c r="J32" s="2012"/>
      <c r="K32" s="2012"/>
      <c r="L32" s="2012"/>
      <c r="M32" s="2012"/>
      <c r="N32" s="2012"/>
      <c r="O32" s="2012"/>
      <c r="P32" s="2012"/>
      <c r="Q32" s="2012"/>
      <c r="R32" s="2012"/>
    </row>
    <row r="33" spans="2:18" ht="13.5" customHeight="1">
      <c r="B33" s="2012"/>
      <c r="C33" s="2012"/>
      <c r="D33" s="2012"/>
      <c r="E33" s="2012"/>
      <c r="F33" s="2012"/>
      <c r="G33" s="2012"/>
      <c r="H33" s="2012"/>
      <c r="I33" s="2012"/>
      <c r="J33" s="2012"/>
      <c r="K33" s="2012"/>
      <c r="L33" s="2012"/>
      <c r="M33" s="2012"/>
      <c r="N33" s="2012"/>
      <c r="O33" s="2012"/>
      <c r="P33" s="2012"/>
      <c r="Q33" s="2012"/>
      <c r="R33" s="2012"/>
    </row>
    <row r="34" spans="2:18" ht="13.5" customHeight="1">
      <c r="B34" s="2012"/>
      <c r="C34" s="2012"/>
      <c r="D34" s="2012"/>
      <c r="E34" s="2012"/>
      <c r="F34" s="2012"/>
      <c r="G34" s="2012"/>
      <c r="H34" s="2012"/>
      <c r="I34" s="2012"/>
      <c r="J34" s="2012"/>
      <c r="K34" s="2012"/>
      <c r="L34" s="2012"/>
      <c r="M34" s="2012"/>
      <c r="N34" s="2012"/>
      <c r="O34" s="2012"/>
      <c r="P34" s="2012"/>
      <c r="Q34" s="2012"/>
      <c r="R34" s="2012"/>
    </row>
    <row r="35" spans="2:18" ht="13.5" customHeight="1">
      <c r="B35" s="2012"/>
      <c r="C35" s="2012"/>
      <c r="D35" s="2012"/>
      <c r="E35" s="2012"/>
      <c r="F35" s="2012"/>
      <c r="G35" s="2012"/>
      <c r="H35" s="2012"/>
      <c r="I35" s="2012"/>
      <c r="J35" s="2012"/>
      <c r="K35" s="2012"/>
      <c r="L35" s="2012"/>
      <c r="M35" s="2012"/>
      <c r="N35" s="2012"/>
      <c r="O35" s="2012"/>
      <c r="P35" s="2012"/>
      <c r="Q35" s="2012"/>
      <c r="R35" s="2012"/>
    </row>
    <row r="36" spans="2:18" ht="13.5" customHeight="1">
      <c r="B36" s="2012"/>
      <c r="C36" s="2012"/>
      <c r="D36" s="2012"/>
      <c r="E36" s="2012"/>
      <c r="F36" s="2012"/>
      <c r="G36" s="2012"/>
      <c r="H36" s="2012"/>
      <c r="I36" s="2012"/>
      <c r="J36" s="2012"/>
      <c r="K36" s="2012"/>
      <c r="L36" s="2012"/>
      <c r="M36" s="2012"/>
      <c r="N36" s="2012"/>
      <c r="O36" s="2012"/>
      <c r="P36" s="2012"/>
      <c r="Q36" s="2012"/>
      <c r="R36" s="2012"/>
    </row>
    <row r="37" spans="2:18" ht="13.5" customHeight="1">
      <c r="G37" s="2012"/>
      <c r="H37" s="2012"/>
      <c r="I37" s="2012"/>
      <c r="J37" s="2012"/>
      <c r="K37" s="2012"/>
      <c r="L37" s="2012"/>
      <c r="M37" s="2012"/>
      <c r="N37" s="2012"/>
      <c r="O37" s="2012"/>
      <c r="P37" s="2012"/>
      <c r="Q37" s="2012"/>
      <c r="R37" s="2012"/>
    </row>
    <row r="38" spans="2:18" ht="13.5" hidden="1" customHeight="1">
      <c r="J38" s="2012"/>
      <c r="K38" s="2012"/>
      <c r="L38" s="2012"/>
      <c r="M38" s="2012"/>
      <c r="N38" s="2012"/>
      <c r="O38" s="2012"/>
      <c r="P38" s="2012"/>
      <c r="Q38" s="2012"/>
      <c r="R38" s="2012"/>
    </row>
    <row r="152" ht="13.5" hidden="1" customHeight="1"/>
  </sheetData>
  <sheetProtection algorithmName="SHA-512" hashValue="sqq+hmnHe74JmZvJjm28Bor/V1KUD6iPEvU4Pm6VzNBmn189Jwo3/C2ydRmpCCJrD49F2nh79mXJd7UpU47+DQ==" saltValue="E/4EEzGN4Um8zCoi8242Yw==" spinCount="100000" sheet="1" objects="1" scenarios="1"/>
  <phoneticPr fontId="22"/>
  <printOptions horizontalCentered="1"/>
  <pageMargins left="0.59055118110236227" right="0.59055118110236227" top="0.78740157480314965" bottom="0.59055118110236227" header="0.51181102362204722" footer="0.51181102362204722"/>
  <pageSetup paperSize="9" scale="60" orientation="portrait" r:id="rId1"/>
  <headerFooter alignWithMargins="0">
    <oddHeader>&amp;L&amp;F&amp;R&amp;A</oddHeader>
    <oddFooter>&amp;C&amp;P/&amp;N</oddFooter>
  </headerFooter>
  <rowBreaks count="1" manualBreakCount="1">
    <brk id="37"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fitToPage="1"/>
  </sheetPr>
  <dimension ref="A1:R101"/>
  <sheetViews>
    <sheetView showGridLines="0" tabSelected="1" zoomScaleNormal="100" workbookViewId="0">
      <selection activeCell="F4" sqref="F4"/>
    </sheetView>
  </sheetViews>
  <sheetFormatPr defaultColWidth="0" defaultRowHeight="13" zeroHeight="1"/>
  <cols>
    <col min="1" max="1" width="1.7265625" style="91" customWidth="1"/>
    <col min="2" max="2" width="21.6328125" style="91" customWidth="1"/>
    <col min="3" max="3" width="15.08984375" style="91" customWidth="1"/>
    <col min="4" max="4" width="18.36328125" style="91" customWidth="1"/>
    <col min="5" max="5" width="13.90625" style="91" customWidth="1"/>
    <col min="6" max="6" width="11.453125" style="91" customWidth="1"/>
    <col min="7" max="7" width="3.08984375" style="91" customWidth="1"/>
    <col min="8" max="8" width="4.7265625" customWidth="1"/>
    <col min="9" max="9" width="13" hidden="1" customWidth="1"/>
    <col min="10" max="10" width="15.08984375" hidden="1" customWidth="1"/>
    <col min="11" max="11" width="6.90625" hidden="1" customWidth="1"/>
    <col min="12" max="12" width="39" hidden="1" customWidth="1"/>
    <col min="13" max="13" width="28.26953125" hidden="1" customWidth="1"/>
    <col min="14" max="14" width="2.453125" hidden="1" customWidth="1"/>
    <col min="15" max="15" width="7.453125" hidden="1" customWidth="1"/>
    <col min="16" max="16" width="11.6328125" hidden="1" customWidth="1"/>
    <col min="17" max="17" width="16.90625" hidden="1" customWidth="1"/>
    <col min="18" max="18" width="9.453125" hidden="1" customWidth="1"/>
    <col min="19" max="16384" width="9" hidden="1"/>
  </cols>
  <sheetData>
    <row r="1" spans="1:11" ht="8.25" customHeight="1">
      <c r="A1" s="3"/>
      <c r="B1" s="4"/>
      <c r="C1" s="3"/>
      <c r="D1" s="3"/>
      <c r="E1" s="3"/>
      <c r="F1" s="3"/>
      <c r="G1" s="3"/>
    </row>
    <row r="2" spans="1:11" ht="25.5" customHeight="1">
      <c r="A2" s="3"/>
      <c r="B2" s="4"/>
      <c r="C2" s="3"/>
      <c r="D2" s="3"/>
      <c r="E2" s="3"/>
      <c r="F2" s="3"/>
      <c r="G2" s="3"/>
    </row>
    <row r="3" spans="1:11" ht="25.5" customHeight="1">
      <c r="A3" s="3"/>
      <c r="B3" s="4"/>
      <c r="C3" s="3"/>
      <c r="D3" s="3"/>
      <c r="E3" s="3"/>
      <c r="F3" s="3"/>
      <c r="G3" s="3"/>
      <c r="I3" s="1">
        <v>2</v>
      </c>
      <c r="J3" s="1" t="str">
        <f>IF(I3=2,J4,IF(I3=0,J5,IF(I3=3,J6,IF(I3=4,J7,""))))</f>
        <v>NC</v>
      </c>
      <c r="K3" s="1" t="str">
        <f>IF(I3=2,K4,IF(I3=0,K5,IF(I3=3,K6,IF(I3=4,K7,""))))</f>
        <v>CASBEE-建築(新築)2016年版</v>
      </c>
    </row>
    <row r="4" spans="1:11" ht="25.5" customHeight="1">
      <c r="A4" s="3"/>
      <c r="B4" s="5" t="s">
        <v>2958</v>
      </c>
      <c r="C4" s="6"/>
      <c r="D4" s="6"/>
      <c r="E4" s="6"/>
      <c r="F4" s="7"/>
      <c r="G4" s="3"/>
      <c r="J4" t="s">
        <v>3289</v>
      </c>
      <c r="K4" t="s">
        <v>3197</v>
      </c>
    </row>
    <row r="5" spans="1:11">
      <c r="A5" s="8"/>
      <c r="B5" s="9" t="s">
        <v>481</v>
      </c>
      <c r="C5" s="10" t="s">
        <v>3560</v>
      </c>
      <c r="D5" s="10"/>
      <c r="E5" s="3"/>
      <c r="F5" s="3"/>
      <c r="G5" s="3"/>
      <c r="J5" t="s">
        <v>3290</v>
      </c>
      <c r="K5" s="2687" t="s">
        <v>3451</v>
      </c>
    </row>
    <row r="6" spans="1:11">
      <c r="A6" s="8"/>
      <c r="B6" s="12" t="s">
        <v>2157</v>
      </c>
      <c r="C6" s="13" t="str">
        <f>K3</f>
        <v>CASBEE-建築(新築)2016年版</v>
      </c>
      <c r="D6" s="13"/>
      <c r="E6" s="3"/>
      <c r="F6" s="3"/>
      <c r="G6" s="3"/>
      <c r="J6" t="s">
        <v>3288</v>
      </c>
      <c r="K6" s="2687" t="s">
        <v>3450</v>
      </c>
    </row>
    <row r="7" spans="1:11" ht="6.75" customHeight="1" thickBot="1">
      <c r="A7" s="8"/>
      <c r="B7" s="11"/>
      <c r="C7" s="11"/>
      <c r="D7" s="11"/>
      <c r="E7" s="11"/>
      <c r="F7" s="11"/>
      <c r="G7" s="3"/>
      <c r="J7" t="s">
        <v>3448</v>
      </c>
      <c r="K7" s="2687" t="s">
        <v>3452</v>
      </c>
    </row>
    <row r="8" spans="1:11" ht="15" customHeight="1">
      <c r="A8" s="8"/>
      <c r="B8" s="14" t="s">
        <v>2104</v>
      </c>
      <c r="C8" s="15"/>
      <c r="D8" s="15"/>
      <c r="E8" s="15"/>
      <c r="F8" s="16"/>
      <c r="G8" s="3"/>
    </row>
    <row r="9" spans="1:11" ht="15" customHeight="1">
      <c r="A9" s="8"/>
      <c r="B9" s="17" t="s">
        <v>2106</v>
      </c>
      <c r="C9" s="18"/>
      <c r="D9" s="18"/>
      <c r="E9" s="18"/>
      <c r="F9" s="19"/>
      <c r="G9" s="3"/>
    </row>
    <row r="10" spans="1:11" ht="15" hidden="1" customHeight="1">
      <c r="A10" s="8"/>
      <c r="B10" s="20"/>
      <c r="C10" s="21"/>
      <c r="D10" s="21"/>
      <c r="E10" s="21"/>
      <c r="F10" s="22"/>
      <c r="G10" s="3"/>
    </row>
    <row r="11" spans="1:11" ht="15" customHeight="1">
      <c r="A11" s="23"/>
      <c r="B11" s="24" t="s">
        <v>3435</v>
      </c>
      <c r="C11" s="3081" t="s">
        <v>678</v>
      </c>
      <c r="D11" s="3082"/>
      <c r="E11" s="3083"/>
      <c r="F11" s="27"/>
      <c r="G11" s="3"/>
      <c r="I11" t="s">
        <v>71</v>
      </c>
      <c r="J11" t="s">
        <v>1420</v>
      </c>
      <c r="K11">
        <v>1</v>
      </c>
    </row>
    <row r="12" spans="1:11" ht="15" customHeight="1">
      <c r="A12" s="23"/>
      <c r="B12" s="28" t="s">
        <v>3436</v>
      </c>
      <c r="C12" s="3084" t="s">
        <v>2109</v>
      </c>
      <c r="D12" s="3085"/>
      <c r="E12" s="3086"/>
      <c r="F12" s="31"/>
      <c r="G12" s="3"/>
      <c r="I12" t="s">
        <v>72</v>
      </c>
      <c r="J12" t="s">
        <v>1320</v>
      </c>
      <c r="K12">
        <v>2</v>
      </c>
    </row>
    <row r="13" spans="1:11" ht="15" hidden="1" customHeight="1">
      <c r="A13" s="23"/>
      <c r="B13" s="28"/>
      <c r="C13" s="29"/>
      <c r="D13" s="2144"/>
      <c r="E13" s="30"/>
      <c r="F13" s="31"/>
      <c r="G13" s="3"/>
      <c r="I13" t="s">
        <v>73</v>
      </c>
      <c r="J13" t="s">
        <v>2103</v>
      </c>
      <c r="K13" s="2231">
        <v>3</v>
      </c>
    </row>
    <row r="14" spans="1:11" ht="15" customHeight="1">
      <c r="A14" s="23"/>
      <c r="B14" s="28" t="s">
        <v>3438</v>
      </c>
      <c r="C14" s="3084" t="s">
        <v>311</v>
      </c>
      <c r="D14" s="3085"/>
      <c r="E14" s="3086"/>
      <c r="F14" s="27"/>
      <c r="G14" s="3"/>
      <c r="I14" t="s">
        <v>74</v>
      </c>
      <c r="J14" t="s">
        <v>2105</v>
      </c>
      <c r="K14" s="2231">
        <v>4</v>
      </c>
    </row>
    <row r="15" spans="1:11" ht="15" customHeight="1">
      <c r="A15" s="23"/>
      <c r="B15" s="28" t="s">
        <v>3437</v>
      </c>
      <c r="C15" s="32" t="s">
        <v>3496</v>
      </c>
      <c r="D15" s="26"/>
      <c r="E15" s="26"/>
      <c r="F15" s="31"/>
      <c r="G15" s="3"/>
      <c r="I15" t="s">
        <v>75</v>
      </c>
      <c r="J15" t="s">
        <v>2107</v>
      </c>
      <c r="K15" s="2231">
        <v>5</v>
      </c>
    </row>
    <row r="16" spans="1:11" ht="15" hidden="1" customHeight="1">
      <c r="A16" s="23"/>
      <c r="B16" s="2742" t="s">
        <v>3333</v>
      </c>
      <c r="C16" s="32" t="s">
        <v>3336</v>
      </c>
      <c r="D16" s="26"/>
      <c r="E16" s="26"/>
      <c r="F16" s="27"/>
      <c r="G16" s="3"/>
      <c r="I16" t="s">
        <v>76</v>
      </c>
      <c r="J16" t="s">
        <v>2108</v>
      </c>
      <c r="K16" s="2231">
        <v>6</v>
      </c>
    </row>
    <row r="17" spans="1:12" ht="15" customHeight="1">
      <c r="A17" s="23"/>
      <c r="B17" s="28" t="s">
        <v>3439</v>
      </c>
      <c r="C17" s="33" t="s">
        <v>679</v>
      </c>
      <c r="D17" s="34" t="s">
        <v>680</v>
      </c>
      <c r="E17" s="34"/>
      <c r="F17" s="27"/>
      <c r="G17" s="3"/>
      <c r="I17" t="s">
        <v>77</v>
      </c>
      <c r="K17" s="2231">
        <v>7</v>
      </c>
    </row>
    <row r="18" spans="1:12" ht="15" customHeight="1">
      <c r="A18" s="23"/>
      <c r="B18" s="28" t="s">
        <v>3440</v>
      </c>
      <c r="C18" s="33" t="s">
        <v>681</v>
      </c>
      <c r="D18" s="34" t="s">
        <v>682</v>
      </c>
      <c r="E18" s="34"/>
      <c r="F18" s="27"/>
      <c r="G18" s="3"/>
      <c r="I18" t="s">
        <v>78</v>
      </c>
      <c r="K18" s="2231">
        <v>8</v>
      </c>
    </row>
    <row r="19" spans="1:12" ht="15" customHeight="1">
      <c r="A19" s="23"/>
      <c r="B19" s="28" t="s">
        <v>3442</v>
      </c>
      <c r="C19" s="35">
        <f>SUM(C63:C64)</f>
        <v>0</v>
      </c>
      <c r="D19" s="34" t="s">
        <v>680</v>
      </c>
      <c r="E19" s="34"/>
      <c r="F19" s="27"/>
      <c r="G19" s="3"/>
      <c r="K19" s="1" t="e">
        <f>VLOOKUP(F12,I11:K18,3)</f>
        <v>#N/A</v>
      </c>
    </row>
    <row r="20" spans="1:12" ht="15" customHeight="1">
      <c r="A20" s="23"/>
      <c r="B20" s="28" t="s">
        <v>3441</v>
      </c>
      <c r="C20" s="3084" t="s">
        <v>683</v>
      </c>
      <c r="D20" s="3085"/>
      <c r="E20" s="3086"/>
      <c r="F20" s="27"/>
      <c r="G20" s="3"/>
    </row>
    <row r="21" spans="1:12" ht="15" customHeight="1">
      <c r="A21" s="23"/>
      <c r="B21" s="36"/>
      <c r="C21" s="3087" t="str">
        <f>O67</f>
        <v/>
      </c>
      <c r="D21" s="3088"/>
      <c r="E21" s="3089"/>
      <c r="F21" s="27"/>
      <c r="G21" s="3"/>
    </row>
    <row r="22" spans="1:12" ht="15" customHeight="1">
      <c r="A22" s="23"/>
      <c r="B22" s="28" t="s">
        <v>3444</v>
      </c>
      <c r="C22" s="25" t="s">
        <v>314</v>
      </c>
      <c r="D22" s="26"/>
      <c r="E22" s="26"/>
      <c r="F22" s="27"/>
      <c r="G22" s="3"/>
    </row>
    <row r="23" spans="1:12" ht="15" customHeight="1">
      <c r="A23" s="23"/>
      <c r="B23" s="28" t="s">
        <v>3443</v>
      </c>
      <c r="C23" s="25"/>
      <c r="D23" s="26"/>
      <c r="E23" s="26"/>
      <c r="F23" s="27"/>
      <c r="G23" s="3"/>
      <c r="I23" t="s">
        <v>772</v>
      </c>
      <c r="J23" t="s">
        <v>771</v>
      </c>
      <c r="K23" t="s">
        <v>773</v>
      </c>
      <c r="L23" t="s">
        <v>774</v>
      </c>
    </row>
    <row r="24" spans="1:12" ht="13.5" hidden="1" customHeight="1" thickBot="1">
      <c r="A24" s="23"/>
      <c r="B24" s="28"/>
      <c r="C24" s="38"/>
      <c r="D24" s="38"/>
      <c r="E24" s="38"/>
      <c r="F24" s="39"/>
      <c r="G24" s="3"/>
    </row>
    <row r="25" spans="1:12" ht="13.5" hidden="1" thickBot="1">
      <c r="A25" s="23"/>
      <c r="B25" s="41" t="s">
        <v>3453</v>
      </c>
      <c r="C25" s="42"/>
      <c r="D25" s="42"/>
      <c r="E25" s="42"/>
      <c r="F25" s="43"/>
      <c r="G25" s="3"/>
    </row>
    <row r="26" spans="1:12" hidden="1">
      <c r="A26" s="23"/>
      <c r="B26" s="2896" t="s">
        <v>3458</v>
      </c>
      <c r="C26" s="25" t="s">
        <v>3454</v>
      </c>
      <c r="D26" s="26"/>
      <c r="E26" s="26"/>
      <c r="F26" s="2148"/>
      <c r="G26" s="3"/>
    </row>
    <row r="27" spans="1:12" hidden="1">
      <c r="A27" s="23"/>
      <c r="B27" s="2896" t="s">
        <v>3459</v>
      </c>
      <c r="C27" s="3084" t="s">
        <v>3455</v>
      </c>
      <c r="D27" s="3085"/>
      <c r="E27" s="3086"/>
      <c r="F27" s="27"/>
      <c r="G27" s="3"/>
    </row>
    <row r="28" spans="1:12" hidden="1">
      <c r="A28" s="23"/>
      <c r="B28" s="2896" t="s">
        <v>3460</v>
      </c>
      <c r="C28" s="44">
        <v>41831</v>
      </c>
      <c r="D28" s="26"/>
      <c r="E28" s="26"/>
      <c r="F28" s="27"/>
      <c r="G28" s="3"/>
    </row>
    <row r="29" spans="1:12" s="2687" customFormat="1" hidden="1">
      <c r="A29" s="23"/>
      <c r="B29" s="2896" t="s">
        <v>3461</v>
      </c>
      <c r="C29" s="33" t="s">
        <v>3456</v>
      </c>
      <c r="D29" s="2878" t="s">
        <v>2410</v>
      </c>
      <c r="E29" s="26"/>
      <c r="F29" s="27"/>
      <c r="G29" s="3"/>
    </row>
    <row r="30" spans="1:12" hidden="1">
      <c r="A30" s="23"/>
      <c r="B30" s="2896" t="s">
        <v>3462</v>
      </c>
      <c r="C30" s="25" t="s">
        <v>3457</v>
      </c>
      <c r="D30" s="26"/>
      <c r="E30" s="26"/>
      <c r="F30" s="27"/>
      <c r="G30" s="3"/>
    </row>
    <row r="31" spans="1:12" hidden="1">
      <c r="A31" s="23"/>
      <c r="B31" s="28"/>
      <c r="C31" s="38"/>
      <c r="D31" s="38"/>
      <c r="E31" s="38"/>
      <c r="F31" s="39"/>
      <c r="G31" s="3"/>
    </row>
    <row r="32" spans="1:12">
      <c r="A32" s="23"/>
      <c r="B32" s="28" t="s">
        <v>3445</v>
      </c>
      <c r="C32" s="37" t="s">
        <v>684</v>
      </c>
      <c r="D32" s="34" t="s">
        <v>775</v>
      </c>
      <c r="E32" s="34"/>
      <c r="F32" s="27"/>
      <c r="G32" s="3"/>
    </row>
    <row r="33" spans="1:18" ht="13.5" thickBot="1">
      <c r="A33" s="23"/>
      <c r="B33" s="28" t="s">
        <v>3446</v>
      </c>
      <c r="C33" s="37" t="s">
        <v>685</v>
      </c>
      <c r="D33" s="34" t="s">
        <v>776</v>
      </c>
      <c r="E33" s="34"/>
      <c r="F33" s="27"/>
      <c r="G33" s="3"/>
      <c r="I33" t="s">
        <v>3493</v>
      </c>
      <c r="J33" t="s">
        <v>3494</v>
      </c>
    </row>
    <row r="34" spans="1:18" ht="13.5" hidden="1" thickBot="1">
      <c r="A34" s="23"/>
      <c r="B34" s="2742" t="s">
        <v>3447</v>
      </c>
      <c r="C34" s="37" t="s">
        <v>679</v>
      </c>
      <c r="D34" s="2743" t="s">
        <v>3334</v>
      </c>
      <c r="E34" s="34"/>
      <c r="F34" s="27"/>
      <c r="G34" s="3"/>
    </row>
    <row r="35" spans="1:18" ht="13.5" hidden="1" thickBot="1">
      <c r="A35" s="23"/>
      <c r="B35" s="28"/>
      <c r="C35" s="38"/>
      <c r="D35" s="38"/>
      <c r="E35" s="38"/>
      <c r="F35" s="39"/>
      <c r="G35" s="3"/>
    </row>
    <row r="36" spans="1:18" ht="13.5" hidden="1" thickBot="1">
      <c r="A36" s="23"/>
      <c r="B36"/>
      <c r="C36"/>
      <c r="D36"/>
      <c r="E36"/>
      <c r="F36"/>
      <c r="G36" s="3"/>
      <c r="I36" s="1" t="s">
        <v>778</v>
      </c>
      <c r="J36" s="1">
        <v>0</v>
      </c>
    </row>
    <row r="37" spans="1:18" ht="13.5" hidden="1" thickBot="1">
      <c r="A37" s="23"/>
      <c r="B37"/>
      <c r="C37"/>
      <c r="D37"/>
      <c r="E37"/>
      <c r="F37"/>
      <c r="G37" s="3"/>
      <c r="I37" s="1" t="s">
        <v>782</v>
      </c>
      <c r="J37" s="1">
        <v>1</v>
      </c>
    </row>
    <row r="38" spans="1:18" ht="13.5" thickBot="1">
      <c r="A38" s="23"/>
      <c r="B38" s="41" t="s">
        <v>777</v>
      </c>
      <c r="C38" s="42"/>
      <c r="D38" s="42"/>
      <c r="E38" s="42"/>
      <c r="F38" s="43"/>
      <c r="G38" s="3"/>
      <c r="I38" s="1" t="s">
        <v>781</v>
      </c>
      <c r="J38" s="1">
        <v>2</v>
      </c>
      <c r="L38" s="1" t="s">
        <v>779</v>
      </c>
      <c r="M38" s="1" t="s">
        <v>780</v>
      </c>
    </row>
    <row r="39" spans="1:18">
      <c r="A39" s="40"/>
      <c r="B39" s="59" t="s">
        <v>3430</v>
      </c>
      <c r="C39" s="44" t="s">
        <v>3497</v>
      </c>
      <c r="D39" s="26"/>
      <c r="E39" s="2149"/>
      <c r="F39" s="2148"/>
      <c r="G39" s="3"/>
      <c r="I39" s="1" t="s">
        <v>455</v>
      </c>
      <c r="J39" s="1">
        <v>2</v>
      </c>
      <c r="L39" s="1" t="s">
        <v>782</v>
      </c>
      <c r="M39" s="1" t="s">
        <v>452</v>
      </c>
    </row>
    <row r="40" spans="1:18">
      <c r="A40" s="40"/>
      <c r="B40" s="59" t="s">
        <v>3431</v>
      </c>
      <c r="C40" s="25" t="s">
        <v>3427</v>
      </c>
      <c r="D40" s="26"/>
      <c r="E40" s="26"/>
      <c r="F40" s="27"/>
      <c r="G40" s="3"/>
      <c r="I40" s="1" t="s">
        <v>3309</v>
      </c>
      <c r="J40" s="1">
        <v>3</v>
      </c>
      <c r="L40" s="1" t="s">
        <v>781</v>
      </c>
      <c r="M40" s="1" t="s">
        <v>454</v>
      </c>
    </row>
    <row r="41" spans="1:18">
      <c r="A41" s="45"/>
      <c r="B41" s="59" t="s">
        <v>3432</v>
      </c>
      <c r="C41" s="44" t="s">
        <v>3497</v>
      </c>
      <c r="D41" s="26"/>
      <c r="E41" s="26"/>
      <c r="F41" s="27"/>
      <c r="G41" s="3"/>
      <c r="I41" s="1148" t="s">
        <v>3449</v>
      </c>
      <c r="J41" s="1148">
        <v>4</v>
      </c>
      <c r="L41" s="1" t="s">
        <v>455</v>
      </c>
      <c r="M41" s="1"/>
    </row>
    <row r="42" spans="1:18">
      <c r="A42" s="45"/>
      <c r="B42" s="59" t="s">
        <v>3433</v>
      </c>
      <c r="C42" s="25" t="s">
        <v>453</v>
      </c>
      <c r="D42" s="26"/>
      <c r="E42" s="26"/>
      <c r="F42" s="27"/>
      <c r="G42" s="3"/>
    </row>
    <row r="43" spans="1:18" ht="13.5" thickBot="1">
      <c r="A43" s="45"/>
      <c r="B43" s="2882" t="s">
        <v>3434</v>
      </c>
      <c r="C43" s="46" t="s">
        <v>456</v>
      </c>
      <c r="D43" s="47" t="str">
        <f>IF(C43=I43,L43,L44)</f>
        <v>→LCCO2算定条件シート（標準計算）を入力</v>
      </c>
      <c r="E43" s="26"/>
      <c r="F43" s="48"/>
      <c r="G43" s="3"/>
      <c r="I43" t="s">
        <v>456</v>
      </c>
      <c r="L43" t="s">
        <v>457</v>
      </c>
    </row>
    <row r="44" spans="1:18" ht="13.5" thickBot="1">
      <c r="A44" s="49"/>
      <c r="B44" s="50"/>
      <c r="C44" s="50"/>
      <c r="D44" s="50"/>
      <c r="E44" s="50"/>
      <c r="F44" s="50"/>
      <c r="G44" s="3"/>
      <c r="I44" t="s">
        <v>458</v>
      </c>
      <c r="L44" t="s">
        <v>459</v>
      </c>
    </row>
    <row r="45" spans="1:18" ht="15" customHeight="1">
      <c r="A45" s="49"/>
      <c r="B45" s="51" t="s">
        <v>460</v>
      </c>
      <c r="C45" s="52"/>
      <c r="D45" s="52"/>
      <c r="E45" s="52"/>
      <c r="F45" s="53"/>
      <c r="G45" s="3"/>
    </row>
    <row r="46" spans="1:18" ht="15" customHeight="1" thickBot="1">
      <c r="A46" s="49"/>
      <c r="B46" s="20" t="s">
        <v>461</v>
      </c>
      <c r="C46" s="54"/>
      <c r="D46" s="55"/>
      <c r="E46" s="55"/>
      <c r="F46" s="56"/>
      <c r="G46" s="3"/>
      <c r="I46" s="1"/>
      <c r="J46" s="1" t="s">
        <v>686</v>
      </c>
      <c r="K46" s="1" t="s">
        <v>1358</v>
      </c>
      <c r="L46" s="1" t="s">
        <v>687</v>
      </c>
    </row>
    <row r="47" spans="1:18" ht="15" customHeight="1">
      <c r="A47" s="49"/>
      <c r="B47" s="57" t="s">
        <v>688</v>
      </c>
      <c r="C47" s="35">
        <f>E47+E48</f>
        <v>0</v>
      </c>
      <c r="D47" s="34" t="s">
        <v>2358</v>
      </c>
      <c r="E47" s="58">
        <v>0</v>
      </c>
      <c r="F47" s="2148" t="s">
        <v>2345</v>
      </c>
      <c r="G47" s="3"/>
      <c r="I47" s="1" t="s">
        <v>462</v>
      </c>
      <c r="J47" s="1">
        <f>C47</f>
        <v>0</v>
      </c>
      <c r="K47" s="1" t="e">
        <f>J47/$J$66</f>
        <v>#DIV/0!</v>
      </c>
      <c r="L47" s="1"/>
      <c r="N47" s="1">
        <f>IF(J47=0,0,RANK(J47,$J$47:$J$64))</f>
        <v>0</v>
      </c>
      <c r="O47" s="1" t="str">
        <f>IF(AND(0&lt;N47,N47&lt;4),I47&amp;",","")</f>
        <v/>
      </c>
      <c r="P47" s="2134" t="s">
        <v>1794</v>
      </c>
      <c r="Q47" s="2135" t="s">
        <v>462</v>
      </c>
      <c r="R47" s="2150">
        <f>E47</f>
        <v>0</v>
      </c>
    </row>
    <row r="48" spans="1:18" ht="15" customHeight="1">
      <c r="A48" s="49"/>
      <c r="B48" s="59"/>
      <c r="C48" s="34"/>
      <c r="D48" s="2147" t="s">
        <v>2350</v>
      </c>
      <c r="E48" s="58"/>
      <c r="F48" s="2148" t="s">
        <v>2354</v>
      </c>
      <c r="G48" s="3"/>
      <c r="I48" s="1"/>
      <c r="J48" s="1"/>
      <c r="K48" s="1"/>
      <c r="L48" s="1"/>
      <c r="N48" s="1">
        <f t="shared" ref="N48:N64" si="0">IF(J48=0,0,RANK(J48,$J$47:$J$64))</f>
        <v>0</v>
      </c>
      <c r="O48" s="1" t="str">
        <f t="shared" ref="O48:O64" si="1">IF(AND(0&lt;N48,N48&lt;4),I48&amp;",","")</f>
        <v/>
      </c>
      <c r="P48" s="2136"/>
      <c r="Q48" s="2135" t="s">
        <v>2306</v>
      </c>
      <c r="R48" s="2150">
        <f t="shared" ref="R48:R59" si="2">E48</f>
        <v>0</v>
      </c>
    </row>
    <row r="49" spans="1:18" ht="15" customHeight="1">
      <c r="A49" s="49"/>
      <c r="B49" s="59" t="s">
        <v>463</v>
      </c>
      <c r="C49" s="35">
        <f>SUM(E49:E53)</f>
        <v>0</v>
      </c>
      <c r="D49" s="34" t="s">
        <v>2357</v>
      </c>
      <c r="E49" s="58"/>
      <c r="F49" s="2148" t="s">
        <v>2354</v>
      </c>
      <c r="G49" s="3"/>
      <c r="I49" s="1" t="s">
        <v>464</v>
      </c>
      <c r="J49" s="2426">
        <f>C49</f>
        <v>0</v>
      </c>
      <c r="K49" s="1" t="e">
        <f>J49/$J$66</f>
        <v>#DIV/0!</v>
      </c>
      <c r="L49" s="1"/>
      <c r="N49" s="1">
        <f t="shared" si="0"/>
        <v>0</v>
      </c>
      <c r="O49" s="1" t="str">
        <f t="shared" si="1"/>
        <v/>
      </c>
      <c r="P49" s="2138" t="s">
        <v>2310</v>
      </c>
      <c r="Q49" s="2135" t="s">
        <v>2311</v>
      </c>
      <c r="R49" s="2150">
        <f t="shared" si="2"/>
        <v>0</v>
      </c>
    </row>
    <row r="50" spans="1:18" ht="15" customHeight="1">
      <c r="A50" s="49"/>
      <c r="B50" s="59"/>
      <c r="C50" s="34"/>
      <c r="D50" s="2147" t="s">
        <v>2347</v>
      </c>
      <c r="E50" s="58"/>
      <c r="F50" s="2148" t="s">
        <v>2354</v>
      </c>
      <c r="G50" s="3"/>
      <c r="I50" s="1"/>
      <c r="J50" s="2850"/>
      <c r="K50" s="1"/>
      <c r="L50" s="1"/>
      <c r="N50" s="1">
        <f t="shared" si="0"/>
        <v>0</v>
      </c>
      <c r="O50" s="1" t="str">
        <f t="shared" si="1"/>
        <v/>
      </c>
      <c r="P50" s="2138"/>
      <c r="Q50" s="2135" t="s">
        <v>1348</v>
      </c>
      <c r="R50" s="2150">
        <f t="shared" si="2"/>
        <v>0</v>
      </c>
    </row>
    <row r="51" spans="1:18" ht="15" customHeight="1">
      <c r="A51" s="49"/>
      <c r="B51" s="59"/>
      <c r="C51" s="34"/>
      <c r="D51" s="2147" t="s">
        <v>2355</v>
      </c>
      <c r="E51" s="58"/>
      <c r="F51" s="2148" t="s">
        <v>2354</v>
      </c>
      <c r="G51" s="3"/>
      <c r="I51" s="1"/>
      <c r="J51" s="1"/>
      <c r="K51" s="1"/>
      <c r="L51" s="1"/>
      <c r="N51" s="1">
        <f t="shared" si="0"/>
        <v>0</v>
      </c>
      <c r="O51" s="1" t="str">
        <f t="shared" si="1"/>
        <v/>
      </c>
      <c r="P51" s="2138"/>
      <c r="Q51" s="2135" t="s">
        <v>1349</v>
      </c>
      <c r="R51" s="2150">
        <f t="shared" si="2"/>
        <v>0</v>
      </c>
    </row>
    <row r="52" spans="1:18" ht="15" customHeight="1">
      <c r="A52" s="49"/>
      <c r="B52" s="59"/>
      <c r="C52" s="34"/>
      <c r="D52" s="2147" t="s">
        <v>2348</v>
      </c>
      <c r="E52" s="58"/>
      <c r="F52" s="2148" t="s">
        <v>2354</v>
      </c>
      <c r="G52" s="3"/>
      <c r="I52" s="1"/>
      <c r="J52" s="1"/>
      <c r="K52" s="1"/>
      <c r="L52" s="1"/>
      <c r="N52" s="1">
        <f t="shared" si="0"/>
        <v>0</v>
      </c>
      <c r="O52" s="1" t="str">
        <f t="shared" si="1"/>
        <v/>
      </c>
      <c r="P52" s="2138"/>
      <c r="Q52" s="2135" t="s">
        <v>2314</v>
      </c>
      <c r="R52" s="2150">
        <f t="shared" si="2"/>
        <v>0</v>
      </c>
    </row>
    <row r="53" spans="1:18" ht="15" customHeight="1">
      <c r="A53" s="49"/>
      <c r="B53" s="59"/>
      <c r="C53" s="34"/>
      <c r="D53" s="2147" t="s">
        <v>2349</v>
      </c>
      <c r="E53" s="58"/>
      <c r="F53" s="2148" t="s">
        <v>2354</v>
      </c>
      <c r="G53" s="3"/>
      <c r="I53" s="1"/>
      <c r="J53" s="1"/>
      <c r="K53" s="1"/>
      <c r="L53" s="1"/>
      <c r="N53" s="1">
        <f t="shared" si="0"/>
        <v>0</v>
      </c>
      <c r="O53" s="1" t="str">
        <f t="shared" si="1"/>
        <v/>
      </c>
      <c r="P53" s="2136"/>
      <c r="Q53" s="2135" t="s">
        <v>2315</v>
      </c>
      <c r="R53" s="2150">
        <f t="shared" si="2"/>
        <v>0</v>
      </c>
    </row>
    <row r="54" spans="1:18" ht="15" customHeight="1">
      <c r="A54" s="49"/>
      <c r="B54" s="59" t="s">
        <v>465</v>
      </c>
      <c r="C54" s="35">
        <f>E54+E55</f>
        <v>0</v>
      </c>
      <c r="D54" s="34" t="s">
        <v>2359</v>
      </c>
      <c r="E54" s="58"/>
      <c r="F54" s="2148" t="s">
        <v>2354</v>
      </c>
      <c r="G54" s="3"/>
      <c r="I54" s="1" t="s">
        <v>466</v>
      </c>
      <c r="J54" s="2426">
        <f>C54</f>
        <v>0</v>
      </c>
      <c r="K54" s="1" t="e">
        <f>J54/$J$66</f>
        <v>#DIV/0!</v>
      </c>
      <c r="L54" s="1"/>
      <c r="N54" s="1">
        <f t="shared" si="0"/>
        <v>0</v>
      </c>
      <c r="O54" s="1" t="str">
        <f t="shared" si="1"/>
        <v/>
      </c>
      <c r="P54" s="2134" t="s">
        <v>2307</v>
      </c>
      <c r="Q54" s="2135" t="s">
        <v>1971</v>
      </c>
      <c r="R54" s="2150">
        <f t="shared" si="2"/>
        <v>0</v>
      </c>
    </row>
    <row r="55" spans="1:18" ht="15" customHeight="1">
      <c r="A55" s="49"/>
      <c r="B55" s="59"/>
      <c r="C55" s="34"/>
      <c r="D55" s="2147" t="s">
        <v>2351</v>
      </c>
      <c r="E55" s="58"/>
      <c r="F55" s="2148" t="s">
        <v>2354</v>
      </c>
      <c r="G55" s="3"/>
      <c r="I55" s="1"/>
      <c r="J55" s="1"/>
      <c r="K55" s="1"/>
      <c r="L55" s="1"/>
      <c r="N55" s="1">
        <f t="shared" si="0"/>
        <v>0</v>
      </c>
      <c r="O55" s="1" t="str">
        <f t="shared" si="1"/>
        <v/>
      </c>
      <c r="P55" s="2136"/>
      <c r="Q55" s="2135" t="s">
        <v>2308</v>
      </c>
      <c r="R55" s="2150">
        <f t="shared" si="2"/>
        <v>0</v>
      </c>
    </row>
    <row r="56" spans="1:18" ht="15" customHeight="1">
      <c r="A56" s="49"/>
      <c r="B56" s="59" t="s">
        <v>467</v>
      </c>
      <c r="C56" s="58"/>
      <c r="D56" s="34" t="s">
        <v>689</v>
      </c>
      <c r="E56" s="34"/>
      <c r="F56" s="2148"/>
      <c r="G56" s="3"/>
      <c r="I56" s="1" t="s">
        <v>468</v>
      </c>
      <c r="J56" s="2850">
        <f>C56</f>
        <v>0</v>
      </c>
      <c r="K56" s="1" t="e">
        <f>J56/$J$66</f>
        <v>#DIV/0!</v>
      </c>
      <c r="L56" s="1"/>
      <c r="N56" s="1">
        <f t="shared" si="0"/>
        <v>0</v>
      </c>
      <c r="O56" s="1" t="str">
        <f t="shared" si="1"/>
        <v/>
      </c>
      <c r="P56" s="2135" t="s">
        <v>468</v>
      </c>
      <c r="Q56" s="2137"/>
      <c r="R56" s="2150">
        <f>C56</f>
        <v>0</v>
      </c>
    </row>
    <row r="57" spans="1:18" ht="15" customHeight="1">
      <c r="A57" s="49"/>
      <c r="B57" s="59" t="s">
        <v>469</v>
      </c>
      <c r="C57" s="35">
        <f>E57+E58+E59</f>
        <v>0</v>
      </c>
      <c r="D57" s="34" t="s">
        <v>2360</v>
      </c>
      <c r="E57" s="58"/>
      <c r="F57" s="2148" t="s">
        <v>2354</v>
      </c>
      <c r="G57" s="3"/>
      <c r="I57" s="1" t="s">
        <v>470</v>
      </c>
      <c r="J57" s="1">
        <f>C57</f>
        <v>0</v>
      </c>
      <c r="K57" s="1" t="e">
        <f>J57/$J$66</f>
        <v>#DIV/0!</v>
      </c>
      <c r="L57" s="1"/>
      <c r="N57" s="1">
        <f t="shared" si="0"/>
        <v>0</v>
      </c>
      <c r="O57" s="1" t="str">
        <f t="shared" si="1"/>
        <v/>
      </c>
      <c r="P57" s="2134" t="s">
        <v>2316</v>
      </c>
      <c r="Q57" s="2135" t="s">
        <v>2317</v>
      </c>
      <c r="R57" s="2150">
        <f t="shared" si="2"/>
        <v>0</v>
      </c>
    </row>
    <row r="58" spans="1:18" ht="15" customHeight="1">
      <c r="A58" s="49"/>
      <c r="B58" s="59"/>
      <c r="C58" s="34"/>
      <c r="D58" s="2147" t="s">
        <v>2352</v>
      </c>
      <c r="E58" s="58"/>
      <c r="F58" s="2148" t="s">
        <v>2354</v>
      </c>
      <c r="G58" s="3"/>
      <c r="I58" s="1"/>
      <c r="J58" s="1"/>
      <c r="K58" s="1"/>
      <c r="L58" s="1"/>
      <c r="N58" s="1">
        <f t="shared" si="0"/>
        <v>0</v>
      </c>
      <c r="O58" s="1" t="str">
        <f t="shared" si="1"/>
        <v/>
      </c>
      <c r="P58" s="2138"/>
      <c r="Q58" s="2135" t="s">
        <v>2318</v>
      </c>
      <c r="R58" s="2150">
        <f t="shared" si="2"/>
        <v>0</v>
      </c>
    </row>
    <row r="59" spans="1:18" ht="15" customHeight="1">
      <c r="A59" s="49"/>
      <c r="B59" s="59"/>
      <c r="C59" s="34"/>
      <c r="D59" s="2147" t="s">
        <v>2353</v>
      </c>
      <c r="E59" s="58"/>
      <c r="F59" s="2148" t="s">
        <v>2354</v>
      </c>
      <c r="G59" s="3"/>
      <c r="I59" s="1"/>
      <c r="J59" s="1"/>
      <c r="K59" s="1"/>
      <c r="L59" s="1"/>
      <c r="N59" s="1">
        <f t="shared" si="0"/>
        <v>0</v>
      </c>
      <c r="O59" s="1" t="str">
        <f t="shared" si="1"/>
        <v/>
      </c>
      <c r="P59" s="2138"/>
      <c r="Q59" s="2132" t="s">
        <v>2319</v>
      </c>
      <c r="R59" s="2150">
        <f t="shared" si="2"/>
        <v>0</v>
      </c>
    </row>
    <row r="60" spans="1:18" ht="15" customHeight="1">
      <c r="A60" s="49"/>
      <c r="B60" s="59" t="s">
        <v>471</v>
      </c>
      <c r="C60" s="58"/>
      <c r="D60" s="2425" t="s">
        <v>3209</v>
      </c>
      <c r="E60" s="58"/>
      <c r="F60" s="2148" t="s">
        <v>680</v>
      </c>
      <c r="G60" s="3"/>
      <c r="I60" s="1" t="s">
        <v>478</v>
      </c>
      <c r="J60" s="1">
        <f>C60</f>
        <v>0</v>
      </c>
      <c r="K60" s="1" t="e">
        <f>J60/$J$66</f>
        <v>#DIV/0!</v>
      </c>
      <c r="L60" s="1"/>
      <c r="N60" s="1">
        <f t="shared" si="0"/>
        <v>0</v>
      </c>
      <c r="O60" s="1" t="str">
        <f t="shared" si="1"/>
        <v/>
      </c>
      <c r="P60" s="2135" t="s">
        <v>478</v>
      </c>
      <c r="Q60" s="2137"/>
      <c r="R60" s="2150">
        <f>C60</f>
        <v>0</v>
      </c>
    </row>
    <row r="61" spans="1:18" ht="15" customHeight="1">
      <c r="A61" s="49"/>
      <c r="B61" s="59" t="s">
        <v>473</v>
      </c>
      <c r="C61" s="58"/>
      <c r="D61" s="34" t="s">
        <v>689</v>
      </c>
      <c r="E61" s="34"/>
      <c r="F61" s="2148"/>
      <c r="G61" s="3"/>
      <c r="I61" s="1" t="s">
        <v>472</v>
      </c>
      <c r="J61" s="1">
        <f>C61</f>
        <v>0</v>
      </c>
      <c r="K61" s="1" t="e">
        <f>J61/$J$66</f>
        <v>#DIV/0!</v>
      </c>
      <c r="L61" s="1">
        <f>J61*F68</f>
        <v>0</v>
      </c>
      <c r="N61" s="1">
        <f t="shared" si="0"/>
        <v>0</v>
      </c>
      <c r="O61" s="1" t="str">
        <f t="shared" si="1"/>
        <v/>
      </c>
      <c r="P61" s="2135" t="s">
        <v>472</v>
      </c>
      <c r="Q61" s="2137"/>
      <c r="R61" s="2150">
        <f>C61</f>
        <v>0</v>
      </c>
    </row>
    <row r="62" spans="1:18" ht="15" customHeight="1">
      <c r="A62" s="49"/>
      <c r="B62" s="59" t="s">
        <v>475</v>
      </c>
      <c r="C62" s="58"/>
      <c r="D62" s="34" t="s">
        <v>689</v>
      </c>
      <c r="E62" s="34"/>
      <c r="F62" s="2148"/>
      <c r="G62" s="3"/>
      <c r="I62" s="1" t="s">
        <v>690</v>
      </c>
      <c r="J62" s="1">
        <f>C62</f>
        <v>0</v>
      </c>
      <c r="K62" s="1" t="e">
        <f>J62/$J$66</f>
        <v>#DIV/0!</v>
      </c>
      <c r="L62" s="1">
        <f>J62*F69</f>
        <v>0</v>
      </c>
      <c r="N62" s="1">
        <f t="shared" si="0"/>
        <v>0</v>
      </c>
      <c r="O62" s="1" t="str">
        <f t="shared" si="1"/>
        <v/>
      </c>
      <c r="P62" s="2135" t="s">
        <v>2309</v>
      </c>
      <c r="Q62" s="2137"/>
      <c r="R62" s="2150">
        <f>C62</f>
        <v>0</v>
      </c>
    </row>
    <row r="63" spans="1:18" ht="15" customHeight="1">
      <c r="A63" s="49"/>
      <c r="B63" s="59" t="s">
        <v>2055</v>
      </c>
      <c r="C63" s="35">
        <f>SUM(C47:C62)</f>
        <v>0</v>
      </c>
      <c r="D63" s="34" t="s">
        <v>689</v>
      </c>
      <c r="E63" s="34"/>
      <c r="F63" s="2148"/>
      <c r="G63" s="3"/>
      <c r="I63" s="1"/>
      <c r="J63" s="1"/>
      <c r="K63" s="1"/>
      <c r="L63" s="1"/>
      <c r="N63" s="1">
        <f t="shared" si="0"/>
        <v>0</v>
      </c>
      <c r="O63" s="1" t="str">
        <f t="shared" si="1"/>
        <v/>
      </c>
      <c r="P63" s="2143"/>
      <c r="Q63" s="2133"/>
    </row>
    <row r="64" spans="1:18" ht="15" customHeight="1">
      <c r="A64" s="49"/>
      <c r="B64" s="60" t="s">
        <v>477</v>
      </c>
      <c r="C64" s="35">
        <f>E64+E65</f>
        <v>0</v>
      </c>
      <c r="D64" s="34" t="s">
        <v>2361</v>
      </c>
      <c r="E64" s="58"/>
      <c r="F64" s="2148" t="s">
        <v>2354</v>
      </c>
      <c r="G64" s="3"/>
      <c r="I64" s="1" t="s">
        <v>476</v>
      </c>
      <c r="J64" s="1">
        <f>C64</f>
        <v>0</v>
      </c>
      <c r="K64" s="1" t="e">
        <f>J64/$J$66</f>
        <v>#DIV/0!</v>
      </c>
      <c r="L64" s="2850">
        <f>E64</f>
        <v>0</v>
      </c>
      <c r="N64" s="1">
        <f t="shared" si="0"/>
        <v>0</v>
      </c>
      <c r="O64" s="1" t="str">
        <f t="shared" si="1"/>
        <v/>
      </c>
      <c r="P64" s="2" t="s">
        <v>2089</v>
      </c>
      <c r="Q64" s="2139" t="s">
        <v>2340</v>
      </c>
      <c r="R64" s="2150">
        <f>E64</f>
        <v>0</v>
      </c>
    </row>
    <row r="65" spans="1:18" ht="15" customHeight="1">
      <c r="A65" s="49"/>
      <c r="B65" s="2091"/>
      <c r="C65" s="34"/>
      <c r="D65" s="2147" t="s">
        <v>2356</v>
      </c>
      <c r="E65" s="58"/>
      <c r="F65" s="2148" t="s">
        <v>2354</v>
      </c>
      <c r="G65" s="3"/>
      <c r="I65" s="1"/>
      <c r="J65" s="1"/>
      <c r="K65" s="1"/>
      <c r="L65" s="1"/>
      <c r="N65" s="1"/>
      <c r="O65" s="1"/>
      <c r="P65" s="2140"/>
      <c r="Q65" s="2141" t="s">
        <v>483</v>
      </c>
      <c r="R65" s="2150">
        <f>E65</f>
        <v>0</v>
      </c>
    </row>
    <row r="66" spans="1:18" ht="15" customHeight="1">
      <c r="A66" s="49"/>
      <c r="B66" s="2091"/>
      <c r="C66" s="34"/>
      <c r="D66" s="34"/>
      <c r="E66" s="34"/>
      <c r="F66" s="27"/>
      <c r="G66" s="3"/>
      <c r="I66" s="1" t="s">
        <v>480</v>
      </c>
      <c r="J66" s="1">
        <f>SUM(J47:J64)</f>
        <v>0</v>
      </c>
      <c r="K66" s="1" t="e">
        <f>J66/$J$66</f>
        <v>#DIV/0!</v>
      </c>
      <c r="L66" s="1">
        <f>SUM(L47:L64)</f>
        <v>0</v>
      </c>
      <c r="O66" s="1" t="str">
        <f>IF(MAX(N47:N63)&gt;3,"等","")</f>
        <v/>
      </c>
    </row>
    <row r="67" spans="1:18" ht="15" customHeight="1">
      <c r="A67" s="49"/>
      <c r="B67" s="20" t="s">
        <v>479</v>
      </c>
      <c r="C67" s="54"/>
      <c r="D67" s="2145"/>
      <c r="E67" s="55"/>
      <c r="F67" s="56"/>
      <c r="G67" s="3"/>
      <c r="O67" s="1" t="str">
        <f>O47&amp;O49&amp;O54&amp;O56&amp;O57&amp;O61&amp;O62&amp;O64&amp;O60&amp;O66</f>
        <v/>
      </c>
    </row>
    <row r="68" spans="1:18" ht="15" customHeight="1">
      <c r="A68" s="49"/>
      <c r="B68" s="60" t="s">
        <v>1792</v>
      </c>
      <c r="C68" s="61"/>
      <c r="D68" s="61"/>
      <c r="E68" s="61"/>
      <c r="F68" s="62"/>
      <c r="G68" s="3"/>
    </row>
    <row r="69" spans="1:18" ht="15" customHeight="1">
      <c r="A69" s="49"/>
      <c r="B69" s="60" t="s">
        <v>1793</v>
      </c>
      <c r="C69" s="61"/>
      <c r="D69" s="61"/>
      <c r="E69" s="61"/>
      <c r="F69" s="62"/>
      <c r="G69" s="3"/>
    </row>
    <row r="70" spans="1:18" ht="15" customHeight="1">
      <c r="A70" s="49"/>
      <c r="B70" s="60" t="s">
        <v>2492</v>
      </c>
      <c r="C70" s="2090"/>
      <c r="D70" s="2090"/>
      <c r="E70" s="2090"/>
      <c r="F70" s="2092">
        <f>IF(C64=0,0,E64/C64)</f>
        <v>0</v>
      </c>
      <c r="G70" s="3"/>
    </row>
    <row r="71" spans="1:18" ht="15" customHeight="1" thickBot="1">
      <c r="A71" s="61"/>
      <c r="B71" s="63"/>
      <c r="C71" s="64"/>
      <c r="D71" s="64"/>
      <c r="E71" s="64"/>
      <c r="F71" s="65"/>
      <c r="G71" s="61"/>
    </row>
    <row r="72" spans="1:18" ht="5.25" customHeight="1" thickBot="1">
      <c r="A72" s="61"/>
      <c r="B72" s="61"/>
      <c r="C72" s="61"/>
      <c r="D72" s="61"/>
      <c r="E72" s="61"/>
      <c r="F72" s="61"/>
      <c r="G72" s="61"/>
    </row>
    <row r="73" spans="1:18" ht="15" customHeight="1" thickBot="1">
      <c r="A73" s="49"/>
      <c r="B73" s="66" t="s">
        <v>1975</v>
      </c>
      <c r="C73" s="67"/>
      <c r="D73" s="67"/>
      <c r="E73" s="68"/>
      <c r="F73" s="69"/>
      <c r="G73" s="3"/>
    </row>
    <row r="74" spans="1:18" ht="15" customHeight="1" thickBot="1">
      <c r="A74" s="49"/>
      <c r="B74" s="70" t="s">
        <v>1976</v>
      </c>
      <c r="C74" s="71" t="s">
        <v>1977</v>
      </c>
      <c r="D74" s="2146"/>
      <c r="E74" s="72"/>
      <c r="F74" s="73"/>
      <c r="G74" s="3"/>
    </row>
    <row r="75" spans="1:18" ht="15" customHeight="1">
      <c r="A75" s="49"/>
      <c r="B75" s="74" t="s">
        <v>1978</v>
      </c>
      <c r="C75" s="75" t="s">
        <v>1979</v>
      </c>
      <c r="D75" s="76"/>
      <c r="E75" s="76" t="s">
        <v>1980</v>
      </c>
      <c r="F75" s="77"/>
      <c r="G75" s="3"/>
    </row>
    <row r="76" spans="1:18" ht="15" customHeight="1" thickBot="1">
      <c r="A76" s="23"/>
      <c r="B76" s="70" t="s">
        <v>1981</v>
      </c>
      <c r="C76" s="78" t="s">
        <v>345</v>
      </c>
      <c r="D76" s="79"/>
      <c r="E76" s="79" t="s">
        <v>346</v>
      </c>
      <c r="F76" s="80"/>
      <c r="G76" s="3"/>
    </row>
    <row r="77" spans="1:18" ht="5.25" customHeight="1">
      <c r="A77" s="49"/>
      <c r="B77" s="49"/>
      <c r="C77" s="49"/>
      <c r="D77" s="49"/>
      <c r="E77" s="49"/>
      <c r="F77" s="49"/>
      <c r="G77" s="3"/>
    </row>
    <row r="78" spans="1:18" ht="15" customHeight="1">
      <c r="A78" s="23"/>
      <c r="B78" s="2883" t="s">
        <v>347</v>
      </c>
      <c r="C78" s="1381" t="s">
        <v>348</v>
      </c>
      <c r="D78" s="2884"/>
      <c r="E78" s="81"/>
      <c r="F78" s="82"/>
      <c r="G78" s="3"/>
    </row>
    <row r="79" spans="1:18" ht="15" customHeight="1">
      <c r="A79" s="23"/>
      <c r="B79" s="2885" t="s">
        <v>349</v>
      </c>
      <c r="C79" s="2886" t="s">
        <v>3054</v>
      </c>
      <c r="D79" s="2887"/>
      <c r="E79" s="83"/>
      <c r="F79" s="84"/>
      <c r="G79" s="85"/>
    </row>
    <row r="80" spans="1:18" ht="15" customHeight="1">
      <c r="A80" s="23"/>
      <c r="B80" s="2888" t="s">
        <v>463</v>
      </c>
      <c r="C80" s="2889" t="s">
        <v>1746</v>
      </c>
      <c r="D80" s="2890"/>
      <c r="E80" s="86"/>
      <c r="F80" s="87"/>
      <c r="G80" s="85"/>
    </row>
    <row r="81" spans="1:7" ht="15" customHeight="1">
      <c r="A81" s="23"/>
      <c r="B81" s="2888" t="s">
        <v>465</v>
      </c>
      <c r="C81" s="2889" t="s">
        <v>2684</v>
      </c>
      <c r="D81" s="2890"/>
      <c r="E81" s="86"/>
      <c r="F81" s="87"/>
      <c r="G81" s="85"/>
    </row>
    <row r="82" spans="1:7" ht="15" customHeight="1">
      <c r="A82" s="23"/>
      <c r="B82" s="2888" t="s">
        <v>467</v>
      </c>
      <c r="C82" s="2889" t="s">
        <v>1421</v>
      </c>
      <c r="D82" s="2890"/>
      <c r="E82" s="86"/>
      <c r="F82" s="87"/>
      <c r="G82" s="85"/>
    </row>
    <row r="83" spans="1:7" ht="15" customHeight="1">
      <c r="A83" s="23"/>
      <c r="B83" s="2888" t="s">
        <v>469</v>
      </c>
      <c r="C83" s="2876" t="s">
        <v>3055</v>
      </c>
      <c r="D83" s="2890"/>
      <c r="E83" s="86"/>
      <c r="F83" s="87"/>
      <c r="G83" s="85"/>
    </row>
    <row r="84" spans="1:7" ht="15" customHeight="1">
      <c r="A84" s="23"/>
      <c r="B84" s="2888" t="s">
        <v>471</v>
      </c>
      <c r="C84" s="2889" t="s">
        <v>1422</v>
      </c>
      <c r="D84" s="2890"/>
      <c r="E84" s="88"/>
      <c r="F84" s="87"/>
      <c r="G84" s="85"/>
    </row>
    <row r="85" spans="1:7" ht="15" customHeight="1">
      <c r="A85" s="23"/>
      <c r="B85" s="2888" t="s">
        <v>473</v>
      </c>
      <c r="C85" s="2889" t="s">
        <v>1423</v>
      </c>
      <c r="D85" s="2890"/>
      <c r="E85" s="86"/>
      <c r="F85" s="87"/>
      <c r="G85" s="85"/>
    </row>
    <row r="86" spans="1:7" ht="15" customHeight="1">
      <c r="A86" s="23"/>
      <c r="B86" s="2888" t="s">
        <v>475</v>
      </c>
      <c r="C86" s="2889" t="s">
        <v>1424</v>
      </c>
      <c r="D86" s="2890"/>
      <c r="E86" s="86"/>
      <c r="F86" s="87"/>
      <c r="G86" s="85"/>
    </row>
    <row r="87" spans="1:7" ht="15" customHeight="1">
      <c r="A87" s="23"/>
      <c r="B87" s="2891" t="s">
        <v>477</v>
      </c>
      <c r="C87" s="2892" t="s">
        <v>691</v>
      </c>
      <c r="D87" s="2893"/>
      <c r="E87" s="89"/>
      <c r="F87" s="90"/>
      <c r="G87" s="85"/>
    </row>
    <row r="88" spans="1:7">
      <c r="A88" s="23"/>
      <c r="B88" s="23"/>
      <c r="C88" s="23"/>
      <c r="D88" s="23"/>
      <c r="E88" s="23"/>
      <c r="F88" s="23"/>
      <c r="G88" s="23"/>
    </row>
    <row r="89" spans="1:7" hidden="1"/>
    <row r="90" spans="1:7" hidden="1">
      <c r="B90"/>
    </row>
    <row r="91" spans="1:7" hidden="1">
      <c r="B91"/>
    </row>
    <row r="92" spans="1:7" hidden="1">
      <c r="B92"/>
    </row>
    <row r="93" spans="1:7" hidden="1">
      <c r="B93"/>
    </row>
    <row r="94" spans="1:7" hidden="1">
      <c r="B94"/>
    </row>
    <row r="95" spans="1:7" hidden="1">
      <c r="B95"/>
    </row>
    <row r="96" spans="1:7" hidden="1">
      <c r="B96"/>
    </row>
    <row r="97" spans="2:2" hidden="1">
      <c r="B97"/>
    </row>
    <row r="98" spans="2:2" hidden="1">
      <c r="B98"/>
    </row>
    <row r="99" spans="2:2" hidden="1">
      <c r="B99"/>
    </row>
    <row r="100" spans="2:2" hidden="1">
      <c r="B100"/>
    </row>
    <row r="101" spans="2:2" hidden="1">
      <c r="B101"/>
    </row>
  </sheetData>
  <sheetProtection algorithmName="SHA-512" hashValue="GsFdv2GnKwKJ+8Tn8HQhe5QagCNSOvZvdcmlUEbr8Yy5+HpP5oQmG6KXHxF4vK20pUz02fvECVNG20rNafaXdw==" saltValue="uMKjJc6tOFION29RVfGYFw==" spinCount="100000" sheet="1" objects="1" scenarios="1"/>
  <mergeCells count="6">
    <mergeCell ref="C11:E11"/>
    <mergeCell ref="C27:E27"/>
    <mergeCell ref="C12:E12"/>
    <mergeCell ref="C14:E14"/>
    <mergeCell ref="C20:E20"/>
    <mergeCell ref="C21:E21"/>
  </mergeCells>
  <phoneticPr fontId="22"/>
  <conditionalFormatting sqref="E39 F15 C20:E20 C56 F12:F13 D12:E14 C39:C40 C11:C18 E47:E55 E64:E65 E57:E59 C60:C62 C22:C23 C32:C33">
    <cfRule type="cellIs" dxfId="237" priority="8" stopIfTrue="1" operator="equal">
      <formula>0</formula>
    </cfRule>
  </conditionalFormatting>
  <conditionalFormatting sqref="F69">
    <cfRule type="expression" dxfId="236" priority="9" stopIfTrue="1">
      <formula>AND($C$62&gt;0,F69=0)</formula>
    </cfRule>
  </conditionalFormatting>
  <conditionalFormatting sqref="F68">
    <cfRule type="expression" dxfId="235" priority="10" stopIfTrue="1">
      <formula>AND($C$61&gt;0,F68=0)</formula>
    </cfRule>
  </conditionalFormatting>
  <conditionalFormatting sqref="E60">
    <cfRule type="cellIs" dxfId="234" priority="7" stopIfTrue="1" operator="equal">
      <formula>0</formula>
    </cfRule>
  </conditionalFormatting>
  <conditionalFormatting sqref="C34">
    <cfRule type="cellIs" dxfId="233" priority="6" stopIfTrue="1" operator="equal">
      <formula>0</formula>
    </cfRule>
  </conditionalFormatting>
  <conditionalFormatting sqref="C26">
    <cfRule type="cellIs" dxfId="232" priority="5" stopIfTrue="1" operator="equal">
      <formula>0</formula>
    </cfRule>
  </conditionalFormatting>
  <conditionalFormatting sqref="C27:E27">
    <cfRule type="cellIs" dxfId="231" priority="4" stopIfTrue="1" operator="equal">
      <formula>0</formula>
    </cfRule>
  </conditionalFormatting>
  <conditionalFormatting sqref="C29">
    <cfRule type="cellIs" dxfId="230" priority="3" stopIfTrue="1" operator="equal">
      <formula>0</formula>
    </cfRule>
  </conditionalFormatting>
  <conditionalFormatting sqref="C30">
    <cfRule type="cellIs" dxfId="229" priority="2" stopIfTrue="1" operator="equal">
      <formula>0</formula>
    </cfRule>
  </conditionalFormatting>
  <conditionalFormatting sqref="C41">
    <cfRule type="cellIs" dxfId="228" priority="1" stopIfTrue="1" operator="equal">
      <formula>0</formula>
    </cfRule>
  </conditionalFormatting>
  <dataValidations count="7">
    <dataValidation type="list" allowBlank="1" showInputMessage="1" showErrorMessage="1" sqref="F15">
      <formula1>"予定,竣工"</formula1>
    </dataValidation>
    <dataValidation type="decimal" allowBlank="1" showInputMessage="1" showErrorMessage="1" sqref="F68:F69">
      <formula1>0</formula1>
      <formula2>1</formula2>
    </dataValidation>
    <dataValidation type="list" allowBlank="1" showInputMessage="1" showErrorMessage="1" sqref="C23">
      <formula1>$I$23:$L$23</formula1>
    </dataValidation>
    <dataValidation type="list" allowBlank="1" showInputMessage="1" showErrorMessage="1" sqref="C43">
      <formula1>$I$43:$I$44</formula1>
    </dataValidation>
    <dataValidation type="list" allowBlank="1" showInputMessage="1" showErrorMessage="1" sqref="F13">
      <formula1>$I$11:$I$16</formula1>
    </dataValidation>
    <dataValidation type="list" allowBlank="1" showInputMessage="1" showErrorMessage="1" sqref="F12">
      <formula1>$I$11:$I$18</formula1>
    </dataValidation>
    <dataValidation type="list" allowBlank="1" showInputMessage="1" showErrorMessage="1" sqref="E39">
      <formula1>$I$37:$I$39</formula1>
    </dataValidation>
  </dataValidations>
  <hyperlinks>
    <hyperlink ref="C75" location="結果!A1" tooltip="[結果]シート" display="●結果　"/>
    <hyperlink ref="C74" location="スコア!A1" tooltip="[スコア入力]シート" display="●スコア"/>
    <hyperlink ref="C76" location="'条件(標準)'!A1" tooltip="[条件（標準）]シート" display="●標準計算"/>
    <hyperlink ref="E76" location="'条件(個別)'!A1" tooltip="[条件（個別 ）]シート" display="●個別計算"/>
    <hyperlink ref="E75" location="CO2計算!A1" tooltip="[CO2計算]シート" display="●LCCO2計算"/>
  </hyperlinks>
  <printOptions horizontalCentered="1"/>
  <pageMargins left="0.59055118110236227" right="0.59055118110236227" top="0.78740157480314965" bottom="0.59055118110236227" header="0.51181102362204722" footer="0.51181102362204722"/>
  <pageSetup paperSize="9" scale="96" orientation="portrait" r:id="rId1"/>
  <headerFooter alignWithMargins="0">
    <oddHeader>&amp;L&amp;F&amp;R&amp;A</oddHeader>
    <oddFooter>&amp;C&amp;P/&amp;N</oddFooter>
  </headerFooter>
  <colBreaks count="1" manualBreakCount="1">
    <brk id="15"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U215"/>
  <sheetViews>
    <sheetView showGridLines="0" topLeftCell="A58" zoomScaleNormal="100" workbookViewId="0">
      <selection activeCell="B66" sqref="B66:K66"/>
    </sheetView>
  </sheetViews>
  <sheetFormatPr defaultColWidth="0" defaultRowHeight="0" customHeight="1" zeroHeight="1"/>
  <cols>
    <col min="1" max="1" width="0.7265625" style="144" customWidth="1"/>
    <col min="2" max="2" width="2.08984375" style="162" customWidth="1"/>
    <col min="3" max="3" width="13.36328125" style="162" customWidth="1"/>
    <col min="4" max="4" width="5.36328125" style="163" customWidth="1"/>
    <col min="5" max="5" width="9.7265625" style="547" customWidth="1"/>
    <col min="6" max="6" width="6.26953125" style="521" customWidth="1"/>
    <col min="7" max="7" width="6.453125" style="521" customWidth="1"/>
    <col min="8" max="8" width="13.08984375" style="521" customWidth="1"/>
    <col min="9" max="9" width="6.90625" style="522" customWidth="1"/>
    <col min="10" max="10" width="12.08984375" style="522" customWidth="1"/>
    <col min="11" max="12" width="11.90625" style="521" customWidth="1"/>
    <col min="13" max="13" width="11.7265625" style="524" customWidth="1"/>
    <col min="14" max="14" width="8.6328125" style="524" customWidth="1"/>
    <col min="15" max="15" width="11.453125" style="524" customWidth="1"/>
    <col min="16" max="16" width="0.7265625" style="144" customWidth="1"/>
    <col min="17" max="17" width="3.90625" style="144" bestFit="1" customWidth="1"/>
    <col min="18" max="18" width="9.90625" style="154" hidden="1" customWidth="1"/>
    <col min="19" max="19" width="9.90625" style="533" hidden="1" customWidth="1"/>
    <col min="20" max="20" width="9.90625" style="154" hidden="1" customWidth="1"/>
    <col min="21" max="21" width="9.08984375" style="154" hidden="1" customWidth="1"/>
    <col min="22" max="22" width="14.453125" style="154" hidden="1" customWidth="1"/>
    <col min="23" max="23" width="11.08984375" style="154" hidden="1" customWidth="1"/>
    <col min="24" max="24" width="20.453125" style="154" hidden="1" customWidth="1"/>
    <col min="25" max="25" width="18.6328125" style="154" hidden="1" customWidth="1"/>
    <col min="26" max="26" width="23" style="154" hidden="1" customWidth="1"/>
    <col min="27" max="27" width="4.453125" style="154" hidden="1" customWidth="1"/>
    <col min="28" max="28" width="6.36328125" style="154" hidden="1" customWidth="1"/>
    <col min="29" max="29" width="6.36328125" style="507" hidden="1" customWidth="1"/>
    <col min="30" max="31" width="5" style="507" hidden="1" customWidth="1"/>
    <col min="32" max="32" width="5.08984375" style="507" hidden="1" customWidth="1"/>
    <col min="33" max="16384" width="9" style="507" hidden="1"/>
  </cols>
  <sheetData>
    <row r="1" spans="1:28" s="142" customFormat="1" ht="6" customHeight="1" thickBot="1">
      <c r="A1" s="134"/>
      <c r="B1" s="135"/>
      <c r="C1" s="136"/>
      <c r="D1" s="137"/>
      <c r="E1" s="138"/>
      <c r="F1" s="139"/>
      <c r="G1" s="139"/>
      <c r="H1" s="139"/>
      <c r="I1" s="140"/>
      <c r="J1" s="140"/>
      <c r="K1" s="139"/>
      <c r="L1" s="141"/>
      <c r="M1" s="138"/>
      <c r="N1" s="138"/>
      <c r="O1" s="134"/>
      <c r="P1" s="134"/>
      <c r="Q1" s="134"/>
      <c r="S1" s="143"/>
    </row>
    <row r="2" spans="1:28" s="154" customFormat="1" ht="18.75" customHeight="1" thickTop="1">
      <c r="A2" s="144"/>
      <c r="B2" s="145"/>
      <c r="C2" s="146"/>
      <c r="D2" s="147"/>
      <c r="E2" s="148"/>
      <c r="F2" s="149"/>
      <c r="G2" s="149"/>
      <c r="H2" s="149"/>
      <c r="I2" s="150"/>
      <c r="J2" s="151"/>
      <c r="K2" s="151"/>
      <c r="L2" s="151"/>
      <c r="M2" s="151"/>
      <c r="N2" s="149"/>
      <c r="O2" s="152"/>
      <c r="P2" s="144"/>
      <c r="Q2" s="3062" t="s">
        <v>2253</v>
      </c>
      <c r="R2" s="153"/>
      <c r="S2" s="153"/>
      <c r="T2" s="153"/>
      <c r="U2" s="153"/>
      <c r="V2" s="153"/>
      <c r="W2" s="153"/>
      <c r="X2" s="153"/>
      <c r="Y2" s="153"/>
      <c r="Z2" s="153"/>
      <c r="AA2" s="153"/>
      <c r="AB2" s="153"/>
    </row>
    <row r="3" spans="1:28" s="154" customFormat="1" ht="18.75" customHeight="1">
      <c r="A3" s="144"/>
      <c r="B3" s="145"/>
      <c r="C3" s="146"/>
      <c r="D3" s="147"/>
      <c r="E3" s="148"/>
      <c r="F3" s="149"/>
      <c r="G3" s="149"/>
      <c r="H3" s="149"/>
      <c r="I3" s="150"/>
      <c r="J3" s="151"/>
      <c r="K3" s="151"/>
      <c r="L3" s="151"/>
      <c r="M3" s="151"/>
      <c r="N3" s="149"/>
      <c r="O3" s="155"/>
      <c r="P3" s="144"/>
      <c r="Q3" s="3063"/>
      <c r="R3" s="153"/>
      <c r="S3" s="153"/>
      <c r="T3" s="153"/>
      <c r="U3" s="153"/>
      <c r="V3" s="153"/>
      <c r="W3" s="153"/>
      <c r="X3" s="153"/>
      <c r="Y3" s="153"/>
      <c r="Z3" s="153"/>
      <c r="AA3" s="153"/>
      <c r="AB3" s="153"/>
    </row>
    <row r="4" spans="1:28" s="154" customFormat="1" ht="18.75" customHeight="1">
      <c r="A4" s="144"/>
      <c r="B4" s="145"/>
      <c r="C4" s="146"/>
      <c r="D4" s="147"/>
      <c r="E4" s="148"/>
      <c r="F4" s="149"/>
      <c r="G4" s="149"/>
      <c r="H4" s="149"/>
      <c r="I4" s="156"/>
      <c r="J4" s="151"/>
      <c r="K4" s="151"/>
      <c r="L4" s="151"/>
      <c r="M4" s="151"/>
      <c r="N4" s="149"/>
      <c r="O4" s="152"/>
      <c r="P4" s="144"/>
      <c r="Q4" s="3063"/>
      <c r="R4" s="153"/>
      <c r="S4" s="153"/>
      <c r="T4" s="153"/>
      <c r="U4" s="153"/>
      <c r="V4" s="153"/>
      <c r="W4" s="153"/>
      <c r="X4" s="153"/>
      <c r="Y4" s="153"/>
      <c r="Z4" s="153"/>
      <c r="AA4" s="153"/>
      <c r="AB4" s="153"/>
    </row>
    <row r="5" spans="1:28" s="154" customFormat="1" ht="13.5" customHeight="1" thickBot="1">
      <c r="A5" s="144"/>
      <c r="B5" s="157"/>
      <c r="C5" s="158"/>
      <c r="D5" s="147"/>
      <c r="E5" s="148"/>
      <c r="F5" s="149"/>
      <c r="G5" s="149"/>
      <c r="H5" s="149"/>
      <c r="I5" s="159"/>
      <c r="J5" s="160" t="s">
        <v>2157</v>
      </c>
      <c r="K5" s="3065" t="str">
        <f>メイン!C6</f>
        <v>CASBEE-建築(新築)2016年版</v>
      </c>
      <c r="L5" s="3066"/>
      <c r="M5" s="160" t="s">
        <v>2254</v>
      </c>
      <c r="N5" s="3065" t="str">
        <f>メイン!C5</f>
        <v>CASBEE-BD_NC_2016(v3.0)</v>
      </c>
      <c r="O5" s="3067"/>
      <c r="P5" s="144"/>
      <c r="Q5" s="3064"/>
      <c r="R5" s="176" t="s">
        <v>2257</v>
      </c>
      <c r="T5" s="153"/>
      <c r="U5" s="176" t="s">
        <v>2258</v>
      </c>
      <c r="V5" s="153"/>
      <c r="W5" s="153"/>
      <c r="X5" s="153"/>
      <c r="Y5" s="153"/>
      <c r="Z5" s="153"/>
      <c r="AA5" s="153"/>
      <c r="AB5" s="153"/>
    </row>
    <row r="6" spans="1:28" s="154" customFormat="1" ht="6" customHeight="1" thickTop="1" thickBot="1">
      <c r="A6" s="144"/>
      <c r="B6" s="161"/>
      <c r="C6" s="162"/>
      <c r="D6" s="163"/>
      <c r="E6" s="164"/>
      <c r="F6" s="165"/>
      <c r="G6" s="165"/>
      <c r="H6" s="165"/>
      <c r="I6" s="166"/>
      <c r="J6" s="167"/>
      <c r="K6" s="167"/>
      <c r="L6" s="168"/>
      <c r="M6" s="164"/>
      <c r="N6" s="164"/>
      <c r="O6" s="164"/>
      <c r="P6" s="144"/>
      <c r="Q6" s="144"/>
      <c r="S6" s="153"/>
      <c r="T6" s="153"/>
      <c r="AB6" s="153"/>
    </row>
    <row r="7" spans="1:28" s="154" customFormat="1" ht="19.5" customHeight="1" thickBot="1">
      <c r="A7" s="144"/>
      <c r="B7" s="169" t="s">
        <v>2255</v>
      </c>
      <c r="C7" s="170"/>
      <c r="D7" s="171"/>
      <c r="E7" s="170"/>
      <c r="F7" s="170"/>
      <c r="G7" s="170"/>
      <c r="H7" s="172"/>
      <c r="I7" s="173"/>
      <c r="J7" s="173"/>
      <c r="K7" s="173"/>
      <c r="L7" s="174" t="s">
        <v>2256</v>
      </c>
      <c r="M7" s="170"/>
      <c r="N7" s="170"/>
      <c r="O7" s="175"/>
      <c r="P7" s="144"/>
      <c r="Q7" s="144"/>
      <c r="R7" s="188" t="s">
        <v>2422</v>
      </c>
      <c r="S7" s="188" t="e">
        <f>スコア!AC8</f>
        <v>#DIV/0!</v>
      </c>
      <c r="T7" s="153"/>
      <c r="U7" s="189"/>
      <c r="V7" s="189" t="s">
        <v>2261</v>
      </c>
      <c r="W7" s="190" t="s">
        <v>2423</v>
      </c>
      <c r="X7" s="190">
        <v>4</v>
      </c>
      <c r="Y7" s="190">
        <v>2</v>
      </c>
      <c r="Z7" s="191" t="s">
        <v>2424</v>
      </c>
      <c r="AA7" s="192" t="s">
        <v>2425</v>
      </c>
      <c r="AB7" s="153"/>
    </row>
    <row r="8" spans="1:28" s="154" customFormat="1" ht="19.5" customHeight="1">
      <c r="A8" s="144"/>
      <c r="B8" s="177" t="s">
        <v>2259</v>
      </c>
      <c r="C8" s="178"/>
      <c r="D8" s="179" t="str">
        <f>メイン!C11</f>
        <v>○○ビル</v>
      </c>
      <c r="E8" s="178"/>
      <c r="F8" s="178"/>
      <c r="G8" s="180"/>
      <c r="H8" s="181" t="s">
        <v>2260</v>
      </c>
      <c r="I8" s="182"/>
      <c r="J8" s="183" t="str">
        <f>メイン!C22</f>
        <v>地上○○F</v>
      </c>
      <c r="K8" s="184"/>
      <c r="L8" s="185"/>
      <c r="M8" s="186"/>
      <c r="N8" s="186"/>
      <c r="O8" s="187"/>
      <c r="P8" s="144"/>
      <c r="Q8" s="144"/>
      <c r="R8" s="188" t="s">
        <v>2426</v>
      </c>
      <c r="S8" s="188" t="e">
        <f>スコア!AC121</f>
        <v>#DIV/0!</v>
      </c>
      <c r="T8" s="153"/>
      <c r="U8" s="203" t="s">
        <v>2427</v>
      </c>
      <c r="V8" s="189" t="s">
        <v>752</v>
      </c>
      <c r="W8" s="190">
        <v>5</v>
      </c>
      <c r="X8" s="190">
        <v>4</v>
      </c>
      <c r="Y8" s="190">
        <v>2</v>
      </c>
      <c r="Z8" s="204" t="e">
        <f>V46</f>
        <v>#DIV/0!</v>
      </c>
      <c r="AA8" s="192">
        <v>3</v>
      </c>
      <c r="AB8" s="153"/>
    </row>
    <row r="9" spans="1:28" s="154" customFormat="1" ht="19.5" customHeight="1">
      <c r="A9" s="144"/>
      <c r="B9" s="193" t="s">
        <v>2263</v>
      </c>
      <c r="C9" s="194"/>
      <c r="D9" s="195" t="str">
        <f>メイン!C12</f>
        <v>○○県○○市</v>
      </c>
      <c r="E9" s="194"/>
      <c r="F9" s="196"/>
      <c r="H9" s="197" t="s">
        <v>2264</v>
      </c>
      <c r="I9" s="198"/>
      <c r="J9" s="199">
        <f>メイン!C23</f>
        <v>0</v>
      </c>
      <c r="K9" s="200"/>
      <c r="L9" s="201"/>
      <c r="O9" s="202"/>
      <c r="P9" s="144"/>
      <c r="Q9" s="144"/>
      <c r="R9" s="191" t="s">
        <v>753</v>
      </c>
      <c r="S9" s="191" t="e">
        <f>25*(S7-1)</f>
        <v>#DIV/0!</v>
      </c>
      <c r="U9" s="203" t="s">
        <v>754</v>
      </c>
      <c r="V9" s="210" t="s">
        <v>2271</v>
      </c>
      <c r="W9" s="190">
        <v>5</v>
      </c>
      <c r="X9" s="190">
        <v>4</v>
      </c>
      <c r="Y9" s="190">
        <v>2</v>
      </c>
      <c r="Z9" s="204" t="e">
        <f>Y46</f>
        <v>#DIV/0!</v>
      </c>
      <c r="AA9" s="192">
        <v>3</v>
      </c>
    </row>
    <row r="10" spans="1:28" s="154" customFormat="1" ht="18.75" customHeight="1">
      <c r="A10" s="144"/>
      <c r="B10" s="193" t="s">
        <v>336</v>
      </c>
      <c r="C10" s="205"/>
      <c r="D10" s="195" t="str">
        <f>メイン!C14</f>
        <v>商業地域、防火地域</v>
      </c>
      <c r="E10" s="205"/>
      <c r="F10" s="205"/>
      <c r="H10" s="181" t="s">
        <v>2269</v>
      </c>
      <c r="I10" s="182"/>
      <c r="J10" s="206" t="str">
        <f>メイン!C32</f>
        <v>XX</v>
      </c>
      <c r="K10" s="196" t="s">
        <v>2270</v>
      </c>
      <c r="L10" s="207"/>
      <c r="M10" s="208"/>
      <c r="N10" s="208"/>
      <c r="O10" s="209"/>
      <c r="P10" s="144"/>
      <c r="Q10" s="144"/>
      <c r="R10" s="191" t="s">
        <v>2272</v>
      </c>
      <c r="S10" s="191" t="e">
        <f>25*(5-S8)</f>
        <v>#DIV/0!</v>
      </c>
      <c r="U10" s="203" t="s">
        <v>1840</v>
      </c>
      <c r="V10" s="217" t="s">
        <v>2273</v>
      </c>
      <c r="W10" s="190">
        <v>5</v>
      </c>
      <c r="X10" s="190">
        <v>4</v>
      </c>
      <c r="Y10" s="190">
        <v>2</v>
      </c>
      <c r="Z10" s="204" t="e">
        <f>Y57</f>
        <v>#DIV/0!</v>
      </c>
      <c r="AA10" s="192">
        <v>3</v>
      </c>
    </row>
    <row r="11" spans="1:28" s="154" customFormat="1" ht="18.75" customHeight="1">
      <c r="A11" s="144"/>
      <c r="B11" s="211" t="s">
        <v>3053</v>
      </c>
      <c r="C11" s="212"/>
      <c r="D11" s="213" t="str">
        <f>IF(メイン!F12="","",メイン!F12)</f>
        <v/>
      </c>
      <c r="E11" s="212"/>
      <c r="F11" s="214"/>
      <c r="G11" s="215"/>
      <c r="H11" s="197" t="str">
        <f>IF(メイン!I3=3,メイン!J33,メイン!I33)</f>
        <v>年間使用時間</v>
      </c>
      <c r="I11" s="198"/>
      <c r="J11" s="216" t="str">
        <f>IF(メイン!I3=3,メイン!C34,メイン!C33)</f>
        <v>XXX</v>
      </c>
      <c r="K11" s="3034" t="str">
        <f>IF(メイン!I3=3,メイン!D34,メイン!D33)</f>
        <v>時間/年（想定値）</v>
      </c>
      <c r="L11" s="207"/>
      <c r="M11" s="208"/>
      <c r="N11" s="208"/>
      <c r="O11" s="209"/>
      <c r="P11" s="144"/>
      <c r="Q11" s="144"/>
      <c r="R11" s="191" t="s">
        <v>2277</v>
      </c>
      <c r="S11" s="191" t="e">
        <f>S9/S10</f>
        <v>#DIV/0!</v>
      </c>
      <c r="U11" s="203" t="s">
        <v>2392</v>
      </c>
      <c r="V11" s="217" t="s">
        <v>2278</v>
      </c>
      <c r="W11" s="190">
        <v>5</v>
      </c>
      <c r="X11" s="190">
        <v>4</v>
      </c>
      <c r="Y11" s="190">
        <v>2</v>
      </c>
      <c r="Z11" s="204" t="e">
        <f>V57</f>
        <v>#DIV/0!</v>
      </c>
      <c r="AA11" s="192">
        <v>3</v>
      </c>
    </row>
    <row r="12" spans="1:28" s="154" customFormat="1" ht="18.75" customHeight="1">
      <c r="A12" s="144"/>
      <c r="B12" s="218" t="s">
        <v>2274</v>
      </c>
      <c r="C12" s="219"/>
      <c r="D12" s="220" t="str">
        <f>メイン!C21</f>
        <v/>
      </c>
      <c r="E12" s="219"/>
      <c r="F12" s="219"/>
      <c r="G12" s="221"/>
      <c r="H12" s="197" t="s">
        <v>2275</v>
      </c>
      <c r="I12" s="222"/>
      <c r="J12" s="199" t="str">
        <f>IF(メイン!E39=0,"",メイン!E39&amp;"評価")</f>
        <v/>
      </c>
      <c r="K12" s="223"/>
      <c r="L12" s="207"/>
      <c r="M12" s="224" t="s">
        <v>2276</v>
      </c>
      <c r="N12" s="208"/>
      <c r="O12" s="209"/>
      <c r="P12" s="144"/>
      <c r="Q12" s="144"/>
      <c r="R12" s="203" t="s">
        <v>755</v>
      </c>
      <c r="S12" s="229" t="e">
        <f>ROUNDDOWN(S11,1)</f>
        <v>#DIV/0!</v>
      </c>
      <c r="U12" s="203" t="s">
        <v>756</v>
      </c>
      <c r="V12" s="217" t="s">
        <v>757</v>
      </c>
      <c r="W12" s="190">
        <v>5</v>
      </c>
      <c r="X12" s="190">
        <v>4</v>
      </c>
      <c r="Y12" s="190">
        <v>2</v>
      </c>
      <c r="Z12" s="204" t="e">
        <f>S57</f>
        <v>#DIV/0!</v>
      </c>
      <c r="AA12" s="192">
        <v>3</v>
      </c>
    </row>
    <row r="13" spans="1:28" s="154" customFormat="1" ht="17.25" customHeight="1">
      <c r="A13" s="144"/>
      <c r="B13" s="2744" t="s">
        <v>612</v>
      </c>
      <c r="C13" s="2745"/>
      <c r="D13" s="3068" t="str">
        <f>メイン!C15</f>
        <v>201●年●月</v>
      </c>
      <c r="E13" s="3069"/>
      <c r="F13" s="2746">
        <f>メイン!F15</f>
        <v>0</v>
      </c>
      <c r="G13" s="2747"/>
      <c r="H13" s="181" t="s">
        <v>613</v>
      </c>
      <c r="I13" s="225"/>
      <c r="J13" s="226" t="str">
        <f>IF(メイン!C39=0,"",メイン!C39)</f>
        <v>201●年●月●日</v>
      </c>
      <c r="K13" s="227"/>
      <c r="L13" s="207"/>
      <c r="M13" s="228" t="s">
        <v>2938</v>
      </c>
      <c r="N13" s="208"/>
      <c r="O13" s="209"/>
      <c r="P13" s="144"/>
      <c r="Q13" s="144"/>
      <c r="R13" s="191" t="s">
        <v>619</v>
      </c>
      <c r="S13" s="235" t="e">
        <f>IF(AND($S$9&gt;=50,$S$11&gt;=3),1,IF(S12&lt;0.5,1,IF(S12&lt;1,2,IF(S12&lt;1.5,3,IF(S12&lt;3,4,4))))/5)</f>
        <v>#DIV/0!</v>
      </c>
      <c r="U13" s="203" t="s">
        <v>759</v>
      </c>
      <c r="V13" s="210" t="s">
        <v>616</v>
      </c>
      <c r="W13" s="190">
        <v>5</v>
      </c>
      <c r="X13" s="190">
        <v>4</v>
      </c>
      <c r="Y13" s="190">
        <v>2</v>
      </c>
      <c r="Z13" s="204" t="e">
        <f>IF(S46=0,1,S46)</f>
        <v>#DIV/0!</v>
      </c>
      <c r="AA13" s="192">
        <v>3</v>
      </c>
    </row>
    <row r="14" spans="1:28" s="154" customFormat="1" ht="17.25" hidden="1" customHeight="1">
      <c r="A14" s="144"/>
      <c r="B14" s="2677" t="s">
        <v>3335</v>
      </c>
      <c r="C14" s="184"/>
      <c r="D14" s="3070" t="str">
        <f>メイン!C16</f>
        <v>2016年６月～８月</v>
      </c>
      <c r="E14" s="3071"/>
      <c r="F14"/>
      <c r="G14"/>
      <c r="H14" s="181"/>
      <c r="I14" s="225"/>
      <c r="J14" s="226"/>
      <c r="K14" s="227"/>
      <c r="L14" s="207"/>
      <c r="M14" s="228"/>
      <c r="N14" s="208"/>
      <c r="O14" s="209"/>
      <c r="P14" s="144"/>
      <c r="Q14" s="144"/>
      <c r="R14" s="191" t="s">
        <v>622</v>
      </c>
      <c r="S14" s="242" t="e">
        <f>1-S13</f>
        <v>#DIV/0!</v>
      </c>
    </row>
    <row r="15" spans="1:28" s="154" customFormat="1" ht="14">
      <c r="A15" s="144"/>
      <c r="B15" s="2748" t="s">
        <v>614</v>
      </c>
      <c r="C15" s="2749"/>
      <c r="D15" s="2750"/>
      <c r="E15" s="2751" t="str">
        <f>メイン!C17</f>
        <v>XXX</v>
      </c>
      <c r="F15" s="2746" t="s">
        <v>758</v>
      </c>
      <c r="G15" s="2747"/>
      <c r="H15" s="181" t="s">
        <v>615</v>
      </c>
      <c r="I15" s="225"/>
      <c r="J15" s="234" t="str">
        <f>IF(メイン!C40=0,"",メイン!C40)</f>
        <v>○○○</v>
      </c>
      <c r="K15" s="227"/>
      <c r="L15" s="207"/>
      <c r="M15" s="228" t="s">
        <v>2939</v>
      </c>
      <c r="N15" s="208"/>
      <c r="O15" s="209"/>
      <c r="P15" s="144"/>
      <c r="Q15" s="144"/>
    </row>
    <row r="16" spans="1:28" s="154" customFormat="1" ht="18.75" customHeight="1">
      <c r="A16" s="144"/>
      <c r="B16" s="181" t="s">
        <v>617</v>
      </c>
      <c r="C16" s="230"/>
      <c r="D16" s="231"/>
      <c r="E16" s="232" t="str">
        <f>メイン!C18</f>
        <v>XXX</v>
      </c>
      <c r="F16" s="233" t="s">
        <v>760</v>
      </c>
      <c r="H16" s="181" t="s">
        <v>618</v>
      </c>
      <c r="I16" s="225"/>
      <c r="J16" s="226" t="str">
        <f>IF(メイン!C41=0,"",メイン!C41)</f>
        <v>201●年●月●日</v>
      </c>
      <c r="K16" s="227"/>
      <c r="L16" s="207"/>
      <c r="M16" s="208"/>
      <c r="N16" s="208"/>
      <c r="O16" s="209"/>
      <c r="P16" s="144"/>
      <c r="Q16" s="144"/>
      <c r="V16" s="236"/>
      <c r="Z16" s="236"/>
    </row>
    <row r="17" spans="1:28" s="154" customFormat="1" ht="18" customHeight="1" thickBot="1">
      <c r="A17" s="144"/>
      <c r="B17" s="181" t="s">
        <v>620</v>
      </c>
      <c r="C17" s="230"/>
      <c r="D17" s="231"/>
      <c r="E17" s="237">
        <f>メイン!J66</f>
        <v>0</v>
      </c>
      <c r="F17" s="238" t="s">
        <v>758</v>
      </c>
      <c r="H17" s="181" t="s">
        <v>621</v>
      </c>
      <c r="I17" s="225"/>
      <c r="J17" s="234" t="str">
        <f>IF(メイン!C42=0,"",メイン!C42)</f>
        <v>○○○</v>
      </c>
      <c r="K17" s="227"/>
      <c r="L17" s="239"/>
      <c r="M17" s="240"/>
      <c r="N17" s="240"/>
      <c r="O17" s="241"/>
      <c r="P17" s="144"/>
      <c r="Q17" s="144"/>
      <c r="T17" s="236"/>
      <c r="U17" s="243"/>
      <c r="V17" s="236"/>
      <c r="W17" s="236"/>
      <c r="X17" s="236"/>
      <c r="Y17" s="236"/>
      <c r="Z17" s="236"/>
      <c r="AA17" s="236"/>
      <c r="AB17" s="236"/>
    </row>
    <row r="18" spans="1:28" s="154" customFormat="1" ht="14.5" hidden="1" thickBot="1">
      <c r="A18" s="144"/>
      <c r="B18" s="2676" t="s">
        <v>623</v>
      </c>
      <c r="D18" s="2678" t="s">
        <v>3244</v>
      </c>
      <c r="E18"/>
      <c r="F18"/>
      <c r="G18"/>
      <c r="H18"/>
      <c r="I18"/>
      <c r="J18"/>
      <c r="K18"/>
      <c r="L18" s="244" t="s">
        <v>624</v>
      </c>
      <c r="M18" s="245" t="s">
        <v>625</v>
      </c>
      <c r="N18" s="2678" t="s">
        <v>3244</v>
      </c>
      <c r="O18" s="202"/>
      <c r="P18" s="144"/>
      <c r="Q18" s="144"/>
      <c r="R18" s="236"/>
      <c r="S18" s="236"/>
      <c r="T18" s="236"/>
      <c r="U18" s="236"/>
      <c r="V18" s="236"/>
      <c r="W18" s="236"/>
      <c r="X18" s="236"/>
      <c r="Y18" s="236"/>
      <c r="Z18" s="236"/>
      <c r="AA18" s="236"/>
      <c r="AB18" s="236"/>
    </row>
    <row r="19" spans="1:28" s="154" customFormat="1" ht="14.5" hidden="1" thickBot="1">
      <c r="A19" s="144"/>
      <c r="B19" s="2676" t="s">
        <v>626</v>
      </c>
      <c r="C19" s="246"/>
      <c r="D19" s="2678" t="s">
        <v>3244</v>
      </c>
      <c r="E19"/>
      <c r="F19"/>
      <c r="G19"/>
      <c r="H19"/>
      <c r="I19"/>
      <c r="J19"/>
      <c r="K19"/>
      <c r="L19" s="248"/>
      <c r="M19" s="245" t="s">
        <v>627</v>
      </c>
      <c r="N19" s="2678" t="s">
        <v>3244</v>
      </c>
      <c r="O19" s="249"/>
      <c r="P19" s="144"/>
      <c r="Q19" s="144"/>
      <c r="R19" s="250"/>
      <c r="S19" s="251"/>
      <c r="T19" s="236"/>
      <c r="U19" s="236"/>
      <c r="V19" s="251"/>
      <c r="W19" s="252"/>
      <c r="X19" s="236"/>
      <c r="Y19" s="236"/>
      <c r="Z19" s="236"/>
      <c r="AA19" s="236"/>
      <c r="AB19" s="236"/>
    </row>
    <row r="20" spans="1:28" s="154" customFormat="1" ht="14.5" hidden="1" thickBot="1">
      <c r="A20" s="144"/>
      <c r="B20" s="2676" t="s">
        <v>628</v>
      </c>
      <c r="C20" s="182"/>
      <c r="D20" s="2678" t="s">
        <v>3244</v>
      </c>
      <c r="E20"/>
      <c r="F20"/>
      <c r="G20"/>
      <c r="H20"/>
      <c r="I20"/>
      <c r="J20"/>
      <c r="K20"/>
      <c r="L20" s="248"/>
      <c r="M20" s="245" t="s">
        <v>629</v>
      </c>
      <c r="N20" s="2678" t="s">
        <v>3244</v>
      </c>
      <c r="O20" s="249"/>
      <c r="P20" s="144"/>
      <c r="Q20" s="144"/>
      <c r="R20" s="250"/>
      <c r="S20" s="251"/>
      <c r="T20" s="236"/>
      <c r="U20" s="236"/>
      <c r="V20" s="251"/>
      <c r="W20" s="252"/>
      <c r="X20" s="236"/>
      <c r="Y20" s="236"/>
      <c r="Z20" s="236"/>
      <c r="AA20" s="236"/>
      <c r="AB20" s="236"/>
    </row>
    <row r="21" spans="1:28" s="154" customFormat="1" ht="14.5" hidden="1" thickBot="1">
      <c r="A21" s="144"/>
      <c r="B21" s="2676" t="s">
        <v>630</v>
      </c>
      <c r="C21" s="205"/>
      <c r="D21" s="2678" t="s">
        <v>3244</v>
      </c>
      <c r="E21"/>
      <c r="F21"/>
      <c r="G21"/>
      <c r="H21"/>
      <c r="I21"/>
      <c r="J21"/>
      <c r="K21"/>
      <c r="L21" s="255"/>
      <c r="M21" s="256" t="s">
        <v>631</v>
      </c>
      <c r="N21" s="2678" t="s">
        <v>3244</v>
      </c>
      <c r="O21" s="257"/>
      <c r="P21" s="144"/>
      <c r="Q21" s="144"/>
      <c r="R21" s="250"/>
      <c r="S21" s="251"/>
      <c r="T21" s="236"/>
      <c r="U21" s="236"/>
      <c r="V21" s="251"/>
      <c r="W21" s="252"/>
      <c r="X21" s="236"/>
      <c r="Y21" s="236"/>
      <c r="Z21" s="236"/>
      <c r="AA21" s="236"/>
      <c r="AB21" s="236"/>
    </row>
    <row r="22" spans="1:28" s="154" customFormat="1" ht="6.75" customHeight="1" thickBot="1">
      <c r="A22" s="144"/>
      <c r="B22" s="258"/>
      <c r="C22" s="259"/>
      <c r="D22" s="258"/>
      <c r="E22" s="260"/>
      <c r="F22" s="260"/>
      <c r="G22" s="260"/>
      <c r="H22" s="260"/>
      <c r="I22" s="261"/>
      <c r="J22" s="262"/>
      <c r="K22" s="263"/>
      <c r="L22" s="260"/>
      <c r="M22" s="260"/>
      <c r="N22" s="260"/>
      <c r="O22" s="260"/>
      <c r="P22" s="144"/>
      <c r="Q22" s="144"/>
      <c r="R22" s="250"/>
      <c r="S22" s="251"/>
      <c r="T22" s="236"/>
      <c r="U22" s="236"/>
      <c r="V22" s="251"/>
      <c r="W22" s="252"/>
      <c r="X22" s="236"/>
      <c r="Y22" s="236"/>
      <c r="Z22" s="236"/>
      <c r="AA22" s="236"/>
      <c r="AB22" s="236"/>
    </row>
    <row r="23" spans="1:28" s="154" customFormat="1" ht="18" thickBot="1">
      <c r="A23" s="144"/>
      <c r="B23" s="264" t="s">
        <v>632</v>
      </c>
      <c r="C23" s="265"/>
      <c r="D23" s="266"/>
      <c r="E23" s="267"/>
      <c r="F23" s="267"/>
      <c r="G23" s="267"/>
      <c r="H23" s="268" t="s">
        <v>633</v>
      </c>
      <c r="I23" s="269"/>
      <c r="J23" s="270"/>
      <c r="K23" s="270"/>
      <c r="L23" s="271" t="s">
        <v>634</v>
      </c>
      <c r="M23" s="265"/>
      <c r="N23" s="266"/>
      <c r="O23" s="267"/>
      <c r="P23" s="144"/>
      <c r="Q23" s="144"/>
      <c r="R23" s="191" t="s">
        <v>761</v>
      </c>
      <c r="S23" s="189" t="s">
        <v>635</v>
      </c>
      <c r="T23" s="189" t="s">
        <v>636</v>
      </c>
      <c r="U23" s="189" t="s">
        <v>637</v>
      </c>
      <c r="AB23" s="236"/>
    </row>
    <row r="24" spans="1:28" s="154" customFormat="1" ht="15" customHeight="1">
      <c r="A24" s="144"/>
      <c r="B24" s="201"/>
      <c r="H24" s="272"/>
      <c r="I24" s="273"/>
      <c r="J24" s="260"/>
      <c r="K24" s="274"/>
      <c r="L24" s="275"/>
      <c r="M24" s="276"/>
      <c r="N24" s="276"/>
      <c r="O24" s="277"/>
      <c r="R24" s="191" t="s">
        <v>638</v>
      </c>
      <c r="S24" s="204"/>
      <c r="T24" s="278" t="e">
        <f>S10</f>
        <v>#DIV/0!</v>
      </c>
      <c r="U24" s="204">
        <v>0</v>
      </c>
      <c r="V24" s="236"/>
      <c r="W24" s="189" t="s">
        <v>639</v>
      </c>
      <c r="X24" s="189"/>
      <c r="Y24" s="236"/>
      <c r="Z24" s="189" t="s">
        <v>640</v>
      </c>
      <c r="AA24" s="189"/>
      <c r="AB24" s="236"/>
    </row>
    <row r="25" spans="1:28" s="154" customFormat="1" ht="15" customHeight="1">
      <c r="A25" s="144"/>
      <c r="B25" s="279"/>
      <c r="C25" s="280" t="e">
        <f>S12</f>
        <v>#DIV/0!</v>
      </c>
      <c r="H25" s="281"/>
      <c r="I25" s="282"/>
      <c r="J25" s="283"/>
      <c r="K25" s="284"/>
      <c r="L25" s="285"/>
      <c r="M25" s="276"/>
      <c r="N25" s="276"/>
      <c r="O25" s="277"/>
      <c r="R25" s="191" t="s">
        <v>641</v>
      </c>
      <c r="S25" s="204"/>
      <c r="T25" s="278" t="e">
        <f>S9</f>
        <v>#DIV/0!</v>
      </c>
      <c r="U25" s="204">
        <v>0</v>
      </c>
      <c r="V25" s="236"/>
      <c r="W25" s="204">
        <v>50</v>
      </c>
      <c r="X25" s="204">
        <v>50</v>
      </c>
      <c r="Y25" s="236"/>
      <c r="Z25" s="204">
        <v>0</v>
      </c>
      <c r="AA25" s="204">
        <v>100</v>
      </c>
      <c r="AB25" s="236"/>
    </row>
    <row r="26" spans="1:28" s="154" customFormat="1" ht="15" customHeight="1">
      <c r="A26" s="144"/>
      <c r="B26" s="201"/>
      <c r="H26" s="281"/>
      <c r="J26" s="283"/>
      <c r="K26" s="284"/>
      <c r="L26" s="285"/>
      <c r="M26" s="276"/>
      <c r="N26" s="276"/>
      <c r="O26" s="277"/>
      <c r="R26" s="204">
        <v>0</v>
      </c>
      <c r="S26" s="189" t="e">
        <f>T24</f>
        <v>#DIV/0!</v>
      </c>
      <c r="T26" s="286" t="e">
        <f>T24</f>
        <v>#DIV/0!</v>
      </c>
      <c r="U26" s="189">
        <v>0.1</v>
      </c>
      <c r="V26" s="236"/>
      <c r="W26" s="204">
        <v>0</v>
      </c>
      <c r="X26" s="204">
        <v>100</v>
      </c>
      <c r="Y26" s="236"/>
      <c r="Z26" s="204">
        <v>50</v>
      </c>
      <c r="AA26" s="204">
        <v>50</v>
      </c>
      <c r="AB26" s="236"/>
    </row>
    <row r="27" spans="1:28" s="154" customFormat="1" ht="15" customHeight="1">
      <c r="A27" s="144"/>
      <c r="B27" s="287"/>
      <c r="C27" s="288"/>
      <c r="D27" s="288"/>
      <c r="E27" s="288"/>
      <c r="F27" s="288"/>
      <c r="G27" s="288"/>
      <c r="H27" s="289"/>
      <c r="I27" s="290"/>
      <c r="J27" s="291"/>
      <c r="K27" s="292"/>
      <c r="L27" s="293"/>
      <c r="M27" s="276"/>
      <c r="N27" s="186"/>
      <c r="O27" s="277"/>
      <c r="R27" s="204">
        <v>0</v>
      </c>
      <c r="S27" s="189">
        <v>0</v>
      </c>
      <c r="T27" s="189" t="e">
        <f>T25</f>
        <v>#DIV/0!</v>
      </c>
      <c r="U27" s="294" t="e">
        <f>T25</f>
        <v>#DIV/0!</v>
      </c>
      <c r="V27" s="236"/>
      <c r="W27" s="236"/>
      <c r="X27" s="236"/>
      <c r="Y27" s="236"/>
      <c r="Z27" s="236"/>
      <c r="AA27" s="236"/>
      <c r="AB27" s="236"/>
    </row>
    <row r="28" spans="1:28" s="154" customFormat="1" ht="15" customHeight="1">
      <c r="A28" s="144"/>
      <c r="B28" s="201"/>
      <c r="H28" s="295" t="str">
        <f>U36</f>
        <v>標準計算</v>
      </c>
      <c r="J28" s="283"/>
      <c r="K28" s="283"/>
      <c r="L28" s="201"/>
      <c r="O28" s="202"/>
      <c r="V28" s="236"/>
      <c r="W28" s="236"/>
      <c r="X28" s="236"/>
      <c r="Y28" s="236"/>
      <c r="Z28" s="236"/>
      <c r="AA28" s="236"/>
      <c r="AB28" s="236"/>
    </row>
    <row r="29" spans="1:28" s="154" customFormat="1" ht="15" customHeight="1">
      <c r="A29" s="144"/>
      <c r="B29" s="201"/>
      <c r="H29" s="201"/>
      <c r="J29" s="283"/>
      <c r="K29" s="284"/>
      <c r="L29" s="296"/>
      <c r="M29" s="297"/>
      <c r="N29" s="298"/>
      <c r="O29" s="299"/>
      <c r="R29" s="300" t="s">
        <v>762</v>
      </c>
      <c r="S29" s="189" t="s">
        <v>763</v>
      </c>
      <c r="T29" s="301">
        <v>0</v>
      </c>
      <c r="U29" s="301">
        <f>100/6</f>
        <v>16.666666666666668</v>
      </c>
      <c r="V29" s="302">
        <f>U29*2</f>
        <v>33.333333333333336</v>
      </c>
      <c r="W29" s="301">
        <f>U29*3</f>
        <v>50</v>
      </c>
      <c r="X29" s="301">
        <f>U29*4</f>
        <v>66.666666666666671</v>
      </c>
      <c r="Y29" s="301">
        <f>U29*5</f>
        <v>83.333333333333343</v>
      </c>
      <c r="Z29" s="301">
        <v>100</v>
      </c>
      <c r="AA29" s="236"/>
      <c r="AB29" s="236"/>
    </row>
    <row r="30" spans="1:28" s="154" customFormat="1" ht="15" customHeight="1">
      <c r="A30" s="144"/>
      <c r="B30" s="201"/>
      <c r="H30" s="201"/>
      <c r="J30" s="283"/>
      <c r="K30" s="284"/>
      <c r="L30" s="296"/>
      <c r="M30" s="297"/>
      <c r="N30" s="298"/>
      <c r="O30" s="299"/>
      <c r="R30" s="300"/>
      <c r="S30" s="189" t="s">
        <v>764</v>
      </c>
      <c r="T30" s="301">
        <v>100</v>
      </c>
      <c r="U30" s="301">
        <v>100</v>
      </c>
      <c r="V30" s="301">
        <v>100</v>
      </c>
      <c r="W30" s="301">
        <v>100</v>
      </c>
      <c r="X30" s="301">
        <v>100</v>
      </c>
      <c r="Y30" s="301">
        <v>100</v>
      </c>
      <c r="Z30" s="301">
        <v>100</v>
      </c>
      <c r="AA30" s="236"/>
      <c r="AB30" s="236"/>
    </row>
    <row r="31" spans="1:28" s="154" customFormat="1" ht="15" customHeight="1">
      <c r="A31" s="144"/>
      <c r="B31" s="201"/>
      <c r="H31" s="201"/>
      <c r="J31" s="283"/>
      <c r="K31" s="284"/>
      <c r="L31" s="303"/>
      <c r="M31" s="304"/>
      <c r="N31" s="305"/>
      <c r="O31" s="306"/>
      <c r="R31" s="300">
        <v>3</v>
      </c>
      <c r="S31" s="189" t="s">
        <v>765</v>
      </c>
      <c r="T31" s="301">
        <v>50</v>
      </c>
      <c r="U31" s="301">
        <f t="shared" ref="U31:V34" si="0">U$29*$R31</f>
        <v>50</v>
      </c>
      <c r="V31" s="301">
        <f t="shared" si="0"/>
        <v>100</v>
      </c>
      <c r="W31" s="301">
        <v>100</v>
      </c>
      <c r="X31" s="301">
        <v>100</v>
      </c>
      <c r="Y31" s="301">
        <v>100</v>
      </c>
      <c r="Z31" s="301">
        <v>100</v>
      </c>
      <c r="AA31" s="236"/>
      <c r="AB31" s="236"/>
    </row>
    <row r="32" spans="1:28" s="154" customFormat="1" ht="15" customHeight="1">
      <c r="A32" s="144"/>
      <c r="B32" s="201"/>
      <c r="H32" s="201"/>
      <c r="J32" s="283"/>
      <c r="K32" s="284"/>
      <c r="L32" s="296"/>
      <c r="M32" s="297"/>
      <c r="N32" s="298"/>
      <c r="O32" s="299"/>
      <c r="R32" s="300">
        <v>1.5</v>
      </c>
      <c r="S32" s="189" t="s">
        <v>766</v>
      </c>
      <c r="T32" s="301">
        <v>0</v>
      </c>
      <c r="U32" s="301">
        <f t="shared" si="0"/>
        <v>25</v>
      </c>
      <c r="V32" s="301">
        <f t="shared" si="0"/>
        <v>50</v>
      </c>
      <c r="W32" s="301">
        <f t="shared" ref="W32:X34" si="1">W$29*$R32</f>
        <v>75</v>
      </c>
      <c r="X32" s="301">
        <f t="shared" si="1"/>
        <v>100</v>
      </c>
      <c r="Y32" s="301">
        <v>100</v>
      </c>
      <c r="Z32" s="301">
        <v>100</v>
      </c>
      <c r="AA32" s="236"/>
      <c r="AB32" s="236"/>
    </row>
    <row r="33" spans="1:35" s="154" customFormat="1" ht="15" customHeight="1">
      <c r="A33" s="144"/>
      <c r="B33" s="201"/>
      <c r="H33" s="201"/>
      <c r="J33" s="283"/>
      <c r="K33" s="284"/>
      <c r="L33" s="296"/>
      <c r="M33" s="297"/>
      <c r="N33" s="298"/>
      <c r="O33" s="299"/>
      <c r="R33" s="300">
        <v>1</v>
      </c>
      <c r="S33" s="189" t="s">
        <v>767</v>
      </c>
      <c r="T33" s="301">
        <v>0</v>
      </c>
      <c r="U33" s="301">
        <f t="shared" si="0"/>
        <v>16.666666666666668</v>
      </c>
      <c r="V33" s="301">
        <f t="shared" si="0"/>
        <v>33.333333333333336</v>
      </c>
      <c r="W33" s="301">
        <f t="shared" si="1"/>
        <v>50</v>
      </c>
      <c r="X33" s="301">
        <f t="shared" si="1"/>
        <v>66.666666666666671</v>
      </c>
      <c r="Y33" s="301">
        <f>Y$29*$R33</f>
        <v>83.333333333333343</v>
      </c>
      <c r="Z33" s="301">
        <f>Z$29*$R33</f>
        <v>100</v>
      </c>
      <c r="AA33" s="236"/>
      <c r="AB33" s="236"/>
    </row>
    <row r="34" spans="1:35" s="154" customFormat="1" ht="15" customHeight="1">
      <c r="A34" s="144"/>
      <c r="B34" s="201"/>
      <c r="H34" s="201"/>
      <c r="J34" s="283"/>
      <c r="K34" s="284"/>
      <c r="L34" s="296"/>
      <c r="M34" s="297"/>
      <c r="N34" s="298"/>
      <c r="O34" s="299"/>
      <c r="R34" s="300">
        <v>0.5</v>
      </c>
      <c r="S34" s="189" t="s">
        <v>768</v>
      </c>
      <c r="T34" s="301">
        <v>0</v>
      </c>
      <c r="U34" s="301">
        <f t="shared" si="0"/>
        <v>8.3333333333333339</v>
      </c>
      <c r="V34" s="301">
        <f t="shared" si="0"/>
        <v>16.666666666666668</v>
      </c>
      <c r="W34" s="301">
        <f t="shared" si="1"/>
        <v>25</v>
      </c>
      <c r="X34" s="301">
        <f t="shared" si="1"/>
        <v>33.333333333333336</v>
      </c>
      <c r="Y34" s="301">
        <f>Y$29*$R34</f>
        <v>41.666666666666671</v>
      </c>
      <c r="Z34" s="301">
        <f>Z$29*$R34</f>
        <v>50</v>
      </c>
      <c r="AA34" s="236"/>
      <c r="AB34" s="236"/>
    </row>
    <row r="35" spans="1:35" s="154" customFormat="1" ht="15" customHeight="1">
      <c r="A35" s="144"/>
      <c r="B35" s="201"/>
      <c r="H35" s="281"/>
      <c r="I35" s="282"/>
      <c r="J35" s="283"/>
      <c r="K35" s="284"/>
      <c r="L35" s="296"/>
      <c r="M35" s="276"/>
      <c r="N35" s="276"/>
      <c r="O35" s="277"/>
      <c r="R35" s="307"/>
      <c r="S35" s="243"/>
      <c r="T35" s="308"/>
      <c r="U35" s="308"/>
      <c r="V35" s="308"/>
      <c r="W35" s="308"/>
      <c r="X35" s="308"/>
      <c r="Y35" s="308"/>
      <c r="Z35" s="308"/>
      <c r="AA35" s="236"/>
      <c r="AB35" s="236"/>
    </row>
    <row r="36" spans="1:35" s="154" customFormat="1" ht="15" customHeight="1">
      <c r="A36" s="247"/>
      <c r="B36" s="201"/>
      <c r="H36" s="309"/>
      <c r="I36" s="310"/>
      <c r="J36" s="310"/>
      <c r="K36" s="311"/>
      <c r="L36" s="296"/>
      <c r="M36" s="276"/>
      <c r="N36" s="312"/>
      <c r="O36" s="277"/>
      <c r="R36" s="191" t="s">
        <v>769</v>
      </c>
      <c r="S36" s="235" t="e">
        <f>IF(T36&lt;=0.3,1,IF(T36&lt;=0.6,0.8,IF(T36&lt;=0.8,0.6,IF(T36&lt;=1,0.4,0.2))))</f>
        <v>#DIV/0!</v>
      </c>
      <c r="T36" s="308" t="e">
        <f>IF(U36=W36,X42,X43)</f>
        <v>#DIV/0!</v>
      </c>
      <c r="U36" s="313" t="str">
        <f>メイン!C43</f>
        <v>標準計算</v>
      </c>
      <c r="V36" s="314" t="s">
        <v>770</v>
      </c>
      <c r="W36" s="313" t="s">
        <v>456</v>
      </c>
      <c r="X36" s="313" t="s">
        <v>642</v>
      </c>
      <c r="Y36" s="308"/>
      <c r="Z36" s="308"/>
      <c r="AA36" s="236"/>
      <c r="AB36" s="236"/>
    </row>
    <row r="37" spans="1:35" s="154" customFormat="1" ht="15" customHeight="1">
      <c r="A37" s="247"/>
      <c r="B37" s="201"/>
      <c r="H37" s="3090" t="str">
        <f>IF(U36=W36,X36,X37)</f>
        <v>このグラフは、LR3中の「地球温暖化への配慮」の内容を、一般的な建物（参照値）と比べたライフサイクルCO2 排出量の目安で示したものです</v>
      </c>
      <c r="I37" s="3091"/>
      <c r="J37" s="3091"/>
      <c r="K37" s="3092"/>
      <c r="L37" s="296"/>
      <c r="M37" s="276"/>
      <c r="N37" s="315"/>
      <c r="O37" s="277"/>
      <c r="R37" s="191" t="s">
        <v>1433</v>
      </c>
      <c r="S37" s="242" t="e">
        <f>1-S36</f>
        <v>#DIV/0!</v>
      </c>
      <c r="T37" s="308"/>
      <c r="U37" s="313" t="s">
        <v>2113</v>
      </c>
      <c r="V37" s="308" t="str">
        <f>IF(U36=W37,V36,"")</f>
        <v/>
      </c>
      <c r="W37" s="313" t="s">
        <v>458</v>
      </c>
      <c r="X37" s="313" t="s">
        <v>725</v>
      </c>
      <c r="Y37" s="308"/>
      <c r="Z37" s="308"/>
      <c r="AA37" s="236"/>
      <c r="AB37" s="236"/>
    </row>
    <row r="38" spans="1:35" s="154" customFormat="1" ht="15" customHeight="1">
      <c r="A38" s="247"/>
      <c r="B38" s="201"/>
      <c r="C38" s="316"/>
      <c r="H38" s="3090"/>
      <c r="I38" s="3091"/>
      <c r="J38" s="3091"/>
      <c r="K38" s="3092"/>
      <c r="L38" s="293"/>
      <c r="M38" s="317"/>
      <c r="N38" s="276"/>
      <c r="O38" s="277"/>
      <c r="AA38" s="236"/>
      <c r="AB38" s="236"/>
    </row>
    <row r="39" spans="1:35" s="154" customFormat="1" ht="15" customHeight="1" thickBot="1">
      <c r="A39" s="247"/>
      <c r="B39" s="318"/>
      <c r="C39" s="253"/>
      <c r="D39" s="253"/>
      <c r="E39" s="253"/>
      <c r="F39" s="253"/>
      <c r="G39" s="253"/>
      <c r="H39" s="3093"/>
      <c r="I39" s="3094"/>
      <c r="J39" s="3094"/>
      <c r="K39" s="3095"/>
      <c r="L39" s="319"/>
      <c r="M39" s="320"/>
      <c r="N39" s="321"/>
      <c r="O39" s="322"/>
      <c r="R39" s="323" t="s">
        <v>1434</v>
      </c>
      <c r="S39" s="324" t="s">
        <v>726</v>
      </c>
      <c r="T39" s="324" t="s">
        <v>727</v>
      </c>
      <c r="U39" s="324" t="s">
        <v>728</v>
      </c>
      <c r="V39" s="324" t="s">
        <v>1435</v>
      </c>
      <c r="W39" s="324" t="s">
        <v>1436</v>
      </c>
      <c r="X39" s="324" t="s">
        <v>1437</v>
      </c>
      <c r="Y39" s="188" t="s">
        <v>1438</v>
      </c>
      <c r="AA39" s="313"/>
    </row>
    <row r="40" spans="1:35" s="154" customFormat="1" ht="18" customHeight="1" thickBot="1">
      <c r="A40" s="144"/>
      <c r="B40" s="325" t="s">
        <v>1439</v>
      </c>
      <c r="C40" s="326"/>
      <c r="D40" s="327"/>
      <c r="E40" s="326"/>
      <c r="F40" s="326"/>
      <c r="G40" s="326"/>
      <c r="H40" s="328"/>
      <c r="I40" s="329"/>
      <c r="J40" s="326"/>
      <c r="K40" s="326"/>
      <c r="L40" s="326"/>
      <c r="M40" s="330"/>
      <c r="N40" s="330"/>
      <c r="O40" s="331"/>
      <c r="P40" s="144"/>
      <c r="Q40" s="144"/>
      <c r="R40" s="188" t="s">
        <v>729</v>
      </c>
      <c r="S40" s="332">
        <f>IF($U$36=$W$36,'条件(標準)'!$D9,'条件(個別)'!$D9)</f>
        <v>0</v>
      </c>
      <c r="T40" s="332">
        <f>IF($U$36=$W$36,'条件(標準)'!$D34,'条件(個別)'!$D34)</f>
        <v>0</v>
      </c>
      <c r="U40" s="332">
        <f>IF($U$36=$W$36,'条件(標準)'!$D46,'条件(個別)'!$D46)</f>
        <v>0</v>
      </c>
      <c r="V40" s="333"/>
      <c r="W40" s="333"/>
      <c r="X40" s="334">
        <v>1</v>
      </c>
      <c r="Y40" s="188">
        <f>IF(COUNTIF(S40:W40,Z41)&gt;0,Z41,SUM(S40:W40))</f>
        <v>0</v>
      </c>
      <c r="AA40" s="335"/>
    </row>
    <row r="41" spans="1:35" s="154" customFormat="1" ht="17.5">
      <c r="A41" s="144"/>
      <c r="B41" s="336" t="s">
        <v>730</v>
      </c>
      <c r="C41" s="337"/>
      <c r="D41" s="337"/>
      <c r="E41" s="338"/>
      <c r="F41" s="337"/>
      <c r="G41" s="337"/>
      <c r="H41" s="337"/>
      <c r="I41" s="337"/>
      <c r="J41" s="337"/>
      <c r="K41" s="339"/>
      <c r="L41" s="340"/>
      <c r="M41" s="341" t="s">
        <v>731</v>
      </c>
      <c r="N41" s="342" t="e">
        <f>スコア!T8</f>
        <v>#DIV/0!</v>
      </c>
      <c r="O41" s="343"/>
      <c r="P41" s="144"/>
      <c r="Q41" s="144"/>
      <c r="R41" s="188" t="s">
        <v>732</v>
      </c>
      <c r="S41" s="332">
        <f>IF($U$36=$W$36,'条件(標準)'!$E9,'条件(個別)'!$E9)</f>
        <v>0</v>
      </c>
      <c r="T41" s="332">
        <f>IF($U$36=$W$36,'条件(標準)'!$E34,'条件(個別)'!$E34)</f>
        <v>0</v>
      </c>
      <c r="U41" s="332">
        <f>IF($U$36=$W$36,'条件(標準)'!$E46,'条件(個別)'!$E46)</f>
        <v>0</v>
      </c>
      <c r="V41" s="333"/>
      <c r="W41" s="333"/>
      <c r="X41" s="334" t="e">
        <f>IF(OR(Y40=Z41,Y41=Z41),Z41,Y41/Y40)</f>
        <v>#DIV/0!</v>
      </c>
      <c r="Y41" s="188">
        <f>IF(COUNTIF(S41:W41,Z41)&gt;0,Z41,SUM(S41:W41))</f>
        <v>0</v>
      </c>
      <c r="Z41" s="154" t="str">
        <f>CO2計算!R115</f>
        <v>N.A.</v>
      </c>
      <c r="AA41" s="335"/>
    </row>
    <row r="42" spans="1:35" s="154" customFormat="1" ht="14">
      <c r="A42" s="144"/>
      <c r="B42" s="201"/>
      <c r="C42" s="344" t="str">
        <f>スコア!B9&amp;" "&amp;スコア!C9</f>
        <v>Q1 室内環境</v>
      </c>
      <c r="D42" s="345"/>
      <c r="E42" s="345"/>
      <c r="F42" s="345"/>
      <c r="G42" s="345"/>
      <c r="H42" s="345" t="str">
        <f>"     "&amp;スコア!B62&amp;" "&amp;スコア!C62</f>
        <v xml:space="preserve">     Q2 サービス性能</v>
      </c>
      <c r="I42" s="345"/>
      <c r="J42" s="247"/>
      <c r="K42" s="247"/>
      <c r="L42" s="346" t="str">
        <f>スコア!B112&amp;" "&amp;スコア!C112</f>
        <v>Q3 室外環境（敷地内）</v>
      </c>
      <c r="M42" s="346"/>
      <c r="N42" s="247"/>
      <c r="O42" s="249"/>
      <c r="P42" s="144"/>
      <c r="Q42" s="144"/>
      <c r="R42" s="188" t="s">
        <v>733</v>
      </c>
      <c r="S42" s="332"/>
      <c r="T42" s="332"/>
      <c r="U42" s="332"/>
      <c r="V42" s="347">
        <f>IF($U$36=$W$36,'条件(標準)'!E9+'条件(標準)'!E34+'条件(標準)'!E47,'条件(個別)'!E9+'条件(個別)'!E34+'条件(個別)'!E47)</f>
        <v>0</v>
      </c>
      <c r="W42" s="333"/>
      <c r="X42" s="334" t="e">
        <f>IF(OR(Y40=Z42,Y42=Z42),Z42,Y42/Y40)</f>
        <v>#DIV/0!</v>
      </c>
      <c r="Y42" s="188">
        <f>IF(COUNTIF(S42:W42,Z42)&gt;0,Z42,SUM(S42:W42))</f>
        <v>0</v>
      </c>
      <c r="Z42" s="154" t="str">
        <f>CO2計算!R115</f>
        <v>N.A.</v>
      </c>
      <c r="AA42" s="335"/>
    </row>
    <row r="43" spans="1:35" s="154" customFormat="1" ht="15" customHeight="1">
      <c r="A43" s="144"/>
      <c r="B43" s="201"/>
      <c r="C43" s="348"/>
      <c r="D43" s="349"/>
      <c r="E43" s="350"/>
      <c r="G43" s="345" t="e">
        <f>S46</f>
        <v>#DIV/0!</v>
      </c>
      <c r="I43" s="350"/>
      <c r="K43" s="345" t="e">
        <f>V46</f>
        <v>#DIV/0!</v>
      </c>
      <c r="M43" s="351"/>
      <c r="N43" s="350"/>
      <c r="O43" s="352" t="e">
        <f>Y46</f>
        <v>#DIV/0!</v>
      </c>
      <c r="P43" s="144"/>
      <c r="Q43" s="144"/>
      <c r="R43" s="188" t="s">
        <v>734</v>
      </c>
      <c r="S43" s="332"/>
      <c r="T43" s="332"/>
      <c r="U43" s="332"/>
      <c r="V43" s="347"/>
      <c r="W43" s="353">
        <f>IF($U$36=$W$36,'条件(標準)'!E9+'条件(標準)'!E34+'条件(標準)'!E52,'条件(個別)'!E9+'条件(個別)'!E34+'条件(個別)'!E52)</f>
        <v>0</v>
      </c>
      <c r="X43" s="334" t="e">
        <f>IF(OR(Y40=Z43,Y43=Z43),Z43,Y43/Y40)</f>
        <v>#DIV/0!</v>
      </c>
      <c r="Y43" s="188">
        <f>IF(COUNTIF(S43:W43,Z43)&gt;0,Z43,SUM(S43:W43))</f>
        <v>0</v>
      </c>
      <c r="Z43" s="154" t="str">
        <f>CO2計算!R115</f>
        <v>N.A.</v>
      </c>
      <c r="AA43" s="335"/>
    </row>
    <row r="44" spans="1:35" s="154" customFormat="1" ht="15" customHeight="1">
      <c r="A44" s="144"/>
      <c r="B44" s="201"/>
      <c r="G44" s="165"/>
      <c r="H44" s="165"/>
      <c r="I44" s="166"/>
      <c r="J44" s="166"/>
      <c r="K44" s="165"/>
      <c r="L44" s="247"/>
      <c r="M44" s="247"/>
      <c r="N44" s="247"/>
      <c r="O44" s="249"/>
      <c r="P44" s="144"/>
      <c r="Q44" s="144"/>
      <c r="AA44" s="236"/>
      <c r="AB44" s="236"/>
      <c r="AC44" s="354"/>
      <c r="AF44" s="354"/>
      <c r="AG44" s="354"/>
      <c r="AI44" s="354"/>
    </row>
    <row r="45" spans="1:35" s="154" customFormat="1" ht="15" customHeight="1">
      <c r="A45" s="144"/>
      <c r="B45" s="201"/>
      <c r="G45" s="165"/>
      <c r="H45" s="165"/>
      <c r="I45" s="166"/>
      <c r="J45" s="166"/>
      <c r="K45" s="165"/>
      <c r="L45" s="247"/>
      <c r="M45" s="247"/>
      <c r="N45" s="247"/>
      <c r="O45" s="249"/>
      <c r="P45" s="144"/>
      <c r="Q45" s="144"/>
      <c r="R45" s="191"/>
      <c r="S45" s="191" t="s">
        <v>2262</v>
      </c>
      <c r="T45" s="191" t="s">
        <v>735</v>
      </c>
      <c r="U45" s="191"/>
      <c r="V45" s="191" t="s">
        <v>2262</v>
      </c>
      <c r="W45" s="191" t="s">
        <v>735</v>
      </c>
      <c r="X45" s="191"/>
      <c r="Y45" s="191" t="s">
        <v>2262</v>
      </c>
      <c r="Z45" s="191" t="s">
        <v>735</v>
      </c>
      <c r="AA45" s="236"/>
      <c r="AB45" s="236"/>
    </row>
    <row r="46" spans="1:35" s="154" customFormat="1" ht="15" customHeight="1">
      <c r="A46" s="144"/>
      <c r="B46" s="201"/>
      <c r="G46" s="165"/>
      <c r="H46" s="165"/>
      <c r="I46" s="166"/>
      <c r="J46" s="166"/>
      <c r="K46" s="165"/>
      <c r="L46" s="247"/>
      <c r="M46" s="247"/>
      <c r="N46" s="247"/>
      <c r="O46" s="249"/>
      <c r="P46" s="144"/>
      <c r="Q46" s="144"/>
      <c r="R46" s="355" t="s">
        <v>941</v>
      </c>
      <c r="S46" s="356" t="e">
        <f>スコア!T9</f>
        <v>#DIV/0!</v>
      </c>
      <c r="T46" s="191" t="e">
        <f>スコア!AC9</f>
        <v>#DIV/0!</v>
      </c>
      <c r="U46" s="189" t="s">
        <v>1440</v>
      </c>
      <c r="V46" s="357" t="e">
        <f>スコア!T62</f>
        <v>#DIV/0!</v>
      </c>
      <c r="W46" s="191" t="e">
        <f>スコア!AC62</f>
        <v>#DIV/0!</v>
      </c>
      <c r="X46" s="355" t="s">
        <v>942</v>
      </c>
      <c r="Y46" s="357" t="e">
        <f>スコア!T112</f>
        <v>#DIV/0!</v>
      </c>
      <c r="Z46" s="191" t="e">
        <f>スコア!AC112</f>
        <v>#DIV/0!</v>
      </c>
      <c r="AA46" s="236"/>
      <c r="AB46" s="236"/>
    </row>
    <row r="47" spans="1:35" s="154" customFormat="1" ht="15" customHeight="1">
      <c r="A47" s="144"/>
      <c r="B47" s="201"/>
      <c r="G47" s="165"/>
      <c r="H47" s="165"/>
      <c r="I47" s="166"/>
      <c r="J47" s="166"/>
      <c r="K47" s="165"/>
      <c r="L47" s="247"/>
      <c r="M47" s="247"/>
      <c r="N47" s="247"/>
      <c r="O47" s="249"/>
      <c r="P47" s="144"/>
      <c r="Q47" s="144"/>
      <c r="AA47" s="236"/>
      <c r="AB47" s="236"/>
    </row>
    <row r="48" spans="1:35" s="154" customFormat="1" ht="15" customHeight="1">
      <c r="A48" s="144"/>
      <c r="B48" s="201"/>
      <c r="G48" s="165"/>
      <c r="H48" s="165"/>
      <c r="I48" s="166"/>
      <c r="J48" s="166"/>
      <c r="K48" s="165"/>
      <c r="L48" s="247"/>
      <c r="M48" s="247"/>
      <c r="N48" s="247"/>
      <c r="O48" s="249"/>
      <c r="P48" s="144"/>
      <c r="Q48" s="144"/>
      <c r="R48" s="191"/>
      <c r="S48" s="191" t="s">
        <v>1441</v>
      </c>
      <c r="T48" s="191" t="s">
        <v>1442</v>
      </c>
      <c r="U48" s="191"/>
      <c r="V48" s="191" t="s">
        <v>1441</v>
      </c>
      <c r="W48" s="191" t="s">
        <v>1442</v>
      </c>
      <c r="X48" s="191"/>
      <c r="Y48" s="358" t="s">
        <v>1441</v>
      </c>
      <c r="Z48" s="191" t="s">
        <v>1442</v>
      </c>
      <c r="AA48" s="236"/>
      <c r="AB48" s="236"/>
    </row>
    <row r="49" spans="1:28" s="154" customFormat="1" ht="15" customHeight="1">
      <c r="A49" s="144"/>
      <c r="B49" s="201"/>
      <c r="G49" s="359"/>
      <c r="H49" s="359"/>
      <c r="I49" s="166"/>
      <c r="J49" s="166"/>
      <c r="K49" s="165"/>
      <c r="L49" s="247"/>
      <c r="M49" s="247"/>
      <c r="N49" s="247"/>
      <c r="O49" s="249"/>
      <c r="P49" s="144"/>
      <c r="Q49" s="144"/>
      <c r="R49" s="360" t="s">
        <v>943</v>
      </c>
      <c r="S49" s="356" t="e">
        <f>スコア!T10</f>
        <v>#DIV/0!</v>
      </c>
      <c r="T49" s="191" t="e">
        <f>IF(S49=0,"N.A.","")</f>
        <v>#DIV/0!</v>
      </c>
      <c r="U49" s="189" t="s">
        <v>944</v>
      </c>
      <c r="V49" s="357" t="e">
        <f>スコア!T63</f>
        <v>#DIV/0!</v>
      </c>
      <c r="W49" s="191" t="e">
        <f>IF(V49=0,"N.A.","")</f>
        <v>#DIV/0!</v>
      </c>
      <c r="X49" s="360" t="s">
        <v>945</v>
      </c>
      <c r="Y49" s="357">
        <f>スコア!T113</f>
        <v>3</v>
      </c>
      <c r="Z49" s="191" t="str">
        <f>IF(Y49=0,"N.A.","")</f>
        <v/>
      </c>
      <c r="AA49" s="236"/>
      <c r="AB49" s="236"/>
    </row>
    <row r="50" spans="1:28" s="154" customFormat="1" ht="15" customHeight="1">
      <c r="A50" s="247"/>
      <c r="B50" s="201"/>
      <c r="G50" s="359"/>
      <c r="H50" s="359"/>
      <c r="I50" s="166"/>
      <c r="J50" s="166"/>
      <c r="K50" s="165"/>
      <c r="L50" s="247"/>
      <c r="M50" s="247"/>
      <c r="N50" s="247"/>
      <c r="O50" s="249"/>
      <c r="P50" s="247"/>
      <c r="Q50" s="144"/>
      <c r="R50" s="360" t="s">
        <v>946</v>
      </c>
      <c r="S50" s="356" t="e">
        <f>スコア!T20</f>
        <v>#DIV/0!</v>
      </c>
      <c r="T50" s="191" t="e">
        <f>IF(S50=0,"N.A.","")</f>
        <v>#DIV/0!</v>
      </c>
      <c r="U50" s="189" t="s">
        <v>947</v>
      </c>
      <c r="V50" s="357" t="e">
        <f>スコア!T78</f>
        <v>#DIV/0!</v>
      </c>
      <c r="W50" s="191" t="e">
        <f>IF(V50=0,"N.A.","")</f>
        <v>#DIV/0!</v>
      </c>
      <c r="X50" s="360" t="s">
        <v>1443</v>
      </c>
      <c r="Y50" s="357">
        <f>スコア!T116</f>
        <v>3</v>
      </c>
      <c r="Z50" s="191" t="str">
        <f>IF(Y50=0,"N.A.","")</f>
        <v/>
      </c>
      <c r="AA50" s="236"/>
      <c r="AB50" s="236"/>
    </row>
    <row r="51" spans="1:28" s="154" customFormat="1" ht="15" customHeight="1">
      <c r="A51" s="247"/>
      <c r="B51" s="201"/>
      <c r="G51" s="361"/>
      <c r="H51" s="362"/>
      <c r="I51" s="363"/>
      <c r="J51" s="363"/>
      <c r="K51" s="364"/>
      <c r="L51" s="365"/>
      <c r="M51" s="365"/>
      <c r="N51" s="365"/>
      <c r="O51" s="366"/>
      <c r="P51" s="247"/>
      <c r="Q51" s="144"/>
      <c r="R51" s="360" t="s">
        <v>948</v>
      </c>
      <c r="S51" s="356" t="e">
        <f>スコア!T35</f>
        <v>#DIV/0!</v>
      </c>
      <c r="T51" s="191" t="e">
        <f>IF(S51=0,"N.A.","")</f>
        <v>#DIV/0!</v>
      </c>
      <c r="U51" s="189" t="s">
        <v>949</v>
      </c>
      <c r="V51" s="357" t="e">
        <f>スコア!T100</f>
        <v>#DIV/0!</v>
      </c>
      <c r="W51" s="191" t="e">
        <f>IF(V51=0,"N.A.","")</f>
        <v>#DIV/0!</v>
      </c>
      <c r="X51" s="360" t="s">
        <v>88</v>
      </c>
      <c r="Y51" s="357" t="e">
        <f>スコア!T117</f>
        <v>#DIV/0!</v>
      </c>
      <c r="Z51" s="191" t="e">
        <f>IF(Y51=0,"N.A.","")</f>
        <v>#DIV/0!</v>
      </c>
      <c r="AA51" s="236"/>
      <c r="AB51" s="236"/>
    </row>
    <row r="52" spans="1:28" s="154" customFormat="1" ht="18" customHeight="1">
      <c r="A52" s="367"/>
      <c r="B52" s="368" t="s">
        <v>1444</v>
      </c>
      <c r="C52" s="369"/>
      <c r="D52" s="370"/>
      <c r="E52" s="369"/>
      <c r="F52" s="369"/>
      <c r="G52" s="369"/>
      <c r="H52" s="337"/>
      <c r="I52" s="337"/>
      <c r="J52" s="337"/>
      <c r="K52" s="339"/>
      <c r="L52" s="340"/>
      <c r="M52" s="341" t="s">
        <v>1445</v>
      </c>
      <c r="N52" s="371" t="e">
        <f>スコア!T121</f>
        <v>#DIV/0!</v>
      </c>
      <c r="O52" s="343"/>
      <c r="P52" s="144"/>
      <c r="Q52" s="144"/>
      <c r="R52" s="360" t="s">
        <v>89</v>
      </c>
      <c r="S52" s="356" t="e">
        <f>スコア!T48</f>
        <v>#DIV/0!</v>
      </c>
      <c r="T52" s="191" t="e">
        <f>IF(S52=0,"N.A.","")</f>
        <v>#DIV/0!</v>
      </c>
      <c r="U52" s="236"/>
      <c r="V52" s="236"/>
      <c r="W52" s="236"/>
      <c r="X52" s="236"/>
      <c r="Y52" s="236"/>
      <c r="Z52" s="236"/>
      <c r="AA52" s="236"/>
      <c r="AB52" s="236"/>
    </row>
    <row r="53" spans="1:28" s="154" customFormat="1" ht="14">
      <c r="A53" s="144"/>
      <c r="B53" s="372"/>
      <c r="C53" s="346" t="str">
        <f>スコア!B122&amp;" "&amp;スコア!C122</f>
        <v>LR1 エネルギー</v>
      </c>
      <c r="D53" s="346"/>
      <c r="E53" s="373"/>
      <c r="F53" s="346"/>
      <c r="G53" s="346"/>
      <c r="H53" s="346" t="str">
        <f>"     "&amp;スコア!B145&amp;" "&amp;スコア!C145</f>
        <v xml:space="preserve">     LR2 資源・マテリアル</v>
      </c>
      <c r="I53" s="346"/>
      <c r="J53" s="346"/>
      <c r="K53" s="346"/>
      <c r="L53" s="344" t="str">
        <f>スコア!B172&amp;" "&amp;スコア!C172</f>
        <v>LR3 敷地外環境</v>
      </c>
      <c r="M53" s="346"/>
      <c r="N53" s="346"/>
      <c r="O53" s="374"/>
      <c r="P53" s="144"/>
      <c r="Q53" s="144"/>
      <c r="R53" s="236"/>
      <c r="S53" s="236"/>
      <c r="T53" s="191"/>
      <c r="U53" s="236"/>
      <c r="V53" s="236"/>
      <c r="W53" s="236"/>
      <c r="X53" s="236"/>
      <c r="Y53" s="236"/>
      <c r="Z53" s="236"/>
      <c r="AA53" s="236"/>
      <c r="AB53" s="236"/>
    </row>
    <row r="54" spans="1:28" s="154" customFormat="1" ht="14">
      <c r="A54" s="247"/>
      <c r="B54" s="375"/>
      <c r="C54" s="348"/>
      <c r="D54" s="349"/>
      <c r="E54" s="350"/>
      <c r="G54" s="345" t="e">
        <f>S57</f>
        <v>#DIV/0!</v>
      </c>
      <c r="I54" s="350"/>
      <c r="K54" s="345" t="e">
        <f>V57</f>
        <v>#DIV/0!</v>
      </c>
      <c r="L54" s="350"/>
      <c r="N54" s="376"/>
      <c r="O54" s="352" t="e">
        <f>Y57</f>
        <v>#DIV/0!</v>
      </c>
      <c r="P54" s="247"/>
      <c r="Q54" s="144"/>
      <c r="R54" s="236" t="e">
        <f>IF(S49=0,"N.A.","")</f>
        <v>#DIV/0!</v>
      </c>
      <c r="S54" s="236"/>
      <c r="T54" s="236"/>
      <c r="U54" s="236"/>
      <c r="V54" s="236"/>
      <c r="W54" s="236"/>
      <c r="X54" s="236"/>
      <c r="Y54" s="236"/>
      <c r="Z54" s="236"/>
      <c r="AA54" s="236"/>
      <c r="AB54" s="236"/>
    </row>
    <row r="55" spans="1:28" s="154" customFormat="1" ht="14">
      <c r="A55" s="247"/>
      <c r="B55" s="375"/>
      <c r="C55" s="377"/>
      <c r="D55" s="377"/>
      <c r="E55" s="378"/>
      <c r="F55" s="361"/>
      <c r="G55" s="361"/>
      <c r="H55" s="361"/>
      <c r="I55" s="166"/>
      <c r="J55" s="166"/>
      <c r="K55" s="165"/>
      <c r="L55" s="165"/>
      <c r="M55" s="186"/>
      <c r="N55" s="186"/>
      <c r="O55" s="187"/>
      <c r="P55" s="247"/>
      <c r="Q55" s="144"/>
      <c r="AA55" s="236"/>
      <c r="AB55" s="236"/>
    </row>
    <row r="56" spans="1:28" s="154" customFormat="1" ht="15.75" customHeight="1">
      <c r="A56" s="144"/>
      <c r="B56" s="375"/>
      <c r="C56" s="186"/>
      <c r="D56" s="379"/>
      <c r="E56" s="164"/>
      <c r="F56" s="165"/>
      <c r="G56" s="165"/>
      <c r="H56" s="165"/>
      <c r="I56" s="380"/>
      <c r="J56" s="166"/>
      <c r="K56" s="165"/>
      <c r="L56" s="165"/>
      <c r="M56" s="186"/>
      <c r="N56" s="186"/>
      <c r="O56" s="187"/>
      <c r="P56" s="144"/>
      <c r="Q56" s="144"/>
      <c r="R56" s="191"/>
      <c r="S56" s="191" t="s">
        <v>1446</v>
      </c>
      <c r="T56" s="191" t="s">
        <v>1447</v>
      </c>
      <c r="U56" s="191"/>
      <c r="V56" s="191" t="s">
        <v>1446</v>
      </c>
      <c r="W56" s="191" t="s">
        <v>1447</v>
      </c>
      <c r="X56" s="191"/>
      <c r="Y56" s="191" t="s">
        <v>1446</v>
      </c>
      <c r="Z56" s="191" t="s">
        <v>1447</v>
      </c>
      <c r="AA56" s="236"/>
      <c r="AB56" s="236"/>
    </row>
    <row r="57" spans="1:28" s="154" customFormat="1" ht="15.75" customHeight="1">
      <c r="A57" s="144"/>
      <c r="B57" s="375"/>
      <c r="C57" s="162"/>
      <c r="D57" s="163"/>
      <c r="E57" s="164"/>
      <c r="F57" s="165"/>
      <c r="G57" s="165"/>
      <c r="H57" s="165"/>
      <c r="I57" s="380"/>
      <c r="J57" s="166"/>
      <c r="K57" s="165"/>
      <c r="L57" s="165"/>
      <c r="M57" s="186"/>
      <c r="N57" s="186"/>
      <c r="O57" s="187"/>
      <c r="P57" s="144"/>
      <c r="Q57" s="144"/>
      <c r="R57" s="189" t="s">
        <v>1448</v>
      </c>
      <c r="S57" s="357" t="e">
        <f>スコア!T122</f>
        <v>#DIV/0!</v>
      </c>
      <c r="T57" s="191" t="e">
        <f>スコア!AC122</f>
        <v>#DIV/0!</v>
      </c>
      <c r="U57" s="189" t="s">
        <v>90</v>
      </c>
      <c r="V57" s="381" t="e">
        <f>スコア!T145</f>
        <v>#DIV/0!</v>
      </c>
      <c r="W57" s="191" t="e">
        <f>スコア!AC145</f>
        <v>#DIV/0!</v>
      </c>
      <c r="X57" s="189" t="s">
        <v>2389</v>
      </c>
      <c r="Y57" s="357" t="e">
        <f>スコア!T172</f>
        <v>#DIV/0!</v>
      </c>
      <c r="Z57" s="191" t="e">
        <f>スコア!AC172</f>
        <v>#DIV/0!</v>
      </c>
      <c r="AA57" s="236"/>
      <c r="AB57" s="236"/>
    </row>
    <row r="58" spans="1:28" s="154" customFormat="1" ht="15.75" customHeight="1">
      <c r="A58" s="144"/>
      <c r="B58" s="382"/>
      <c r="C58" s="162"/>
      <c r="D58" s="163"/>
      <c r="E58" s="164"/>
      <c r="F58" s="165"/>
      <c r="G58" s="165"/>
      <c r="H58" s="165"/>
      <c r="I58" s="380"/>
      <c r="J58" s="166"/>
      <c r="K58" s="165"/>
      <c r="L58" s="165"/>
      <c r="M58" s="186"/>
      <c r="N58" s="186"/>
      <c r="O58" s="187"/>
      <c r="P58" s="144"/>
      <c r="Q58" s="144"/>
      <c r="Y58" s="383"/>
      <c r="AA58" s="236"/>
      <c r="AB58" s="236"/>
    </row>
    <row r="59" spans="1:28" s="154" customFormat="1" ht="15.75" customHeight="1">
      <c r="A59" s="144"/>
      <c r="B59" s="382"/>
      <c r="C59" s="162"/>
      <c r="D59" s="163"/>
      <c r="E59" s="164"/>
      <c r="F59" s="165"/>
      <c r="G59" s="165"/>
      <c r="H59" s="165"/>
      <c r="I59" s="380"/>
      <c r="J59" s="166"/>
      <c r="K59" s="165"/>
      <c r="L59" s="165"/>
      <c r="M59" s="186"/>
      <c r="N59" s="186"/>
      <c r="O59" s="187"/>
      <c r="P59" s="144"/>
      <c r="Q59" s="144"/>
      <c r="R59" s="191"/>
      <c r="S59" s="191" t="s">
        <v>1449</v>
      </c>
      <c r="T59" s="191" t="s">
        <v>1450</v>
      </c>
      <c r="U59" s="191"/>
      <c r="V59" s="191" t="s">
        <v>1449</v>
      </c>
      <c r="W59" s="191" t="s">
        <v>1450</v>
      </c>
      <c r="X59" s="191"/>
      <c r="Y59" s="358" t="s">
        <v>1449</v>
      </c>
      <c r="Z59" s="191" t="s">
        <v>1450</v>
      </c>
      <c r="AA59" s="236"/>
      <c r="AB59" s="236"/>
    </row>
    <row r="60" spans="1:28" s="154" customFormat="1" ht="15.75" customHeight="1">
      <c r="A60" s="144"/>
      <c r="B60" s="382"/>
      <c r="C60" s="162"/>
      <c r="D60" s="163"/>
      <c r="E60" s="164"/>
      <c r="F60" s="165"/>
      <c r="G60" s="165"/>
      <c r="H60" s="165"/>
      <c r="I60" s="380"/>
      <c r="J60" s="166"/>
      <c r="K60" s="165"/>
      <c r="L60" s="165"/>
      <c r="M60" s="186"/>
      <c r="N60" s="186"/>
      <c r="O60" s="187"/>
      <c r="P60" s="144"/>
      <c r="Q60" s="144"/>
      <c r="R60" s="189" t="s">
        <v>2390</v>
      </c>
      <c r="S60" s="384">
        <f>スコア!T123</f>
        <v>0</v>
      </c>
      <c r="T60" s="191" t="str">
        <f>IF(S60=0,"N.A.","")</f>
        <v>N.A.</v>
      </c>
      <c r="U60" s="385" t="s">
        <v>2391</v>
      </c>
      <c r="V60" s="357" t="e">
        <f>スコア!T146</f>
        <v>#DIV/0!</v>
      </c>
      <c r="W60" s="191" t="e">
        <f>IF(V60=0,"N.A.","")</f>
        <v>#DIV/0!</v>
      </c>
      <c r="X60" s="189" t="s">
        <v>2626</v>
      </c>
      <c r="Y60" s="357">
        <f>スコア!T173</f>
        <v>0</v>
      </c>
      <c r="Z60" s="191" t="str">
        <f>IF(Y60=0,"N.A.","")</f>
        <v>N.A.</v>
      </c>
      <c r="AA60" s="236"/>
      <c r="AB60" s="236"/>
    </row>
    <row r="61" spans="1:28" s="154" customFormat="1" ht="15.75" customHeight="1">
      <c r="A61" s="144"/>
      <c r="B61" s="382"/>
      <c r="C61" s="162"/>
      <c r="D61" s="163"/>
      <c r="E61" s="164"/>
      <c r="F61" s="165"/>
      <c r="G61" s="165"/>
      <c r="H61" s="165"/>
      <c r="I61" s="380"/>
      <c r="J61" s="166"/>
      <c r="K61" s="165"/>
      <c r="L61" s="165"/>
      <c r="M61" s="186"/>
      <c r="N61" s="186"/>
      <c r="O61" s="187"/>
      <c r="P61" s="144"/>
      <c r="Q61" s="144"/>
      <c r="R61" s="189" t="s">
        <v>2627</v>
      </c>
      <c r="S61" s="384">
        <f>スコア!T124</f>
        <v>0</v>
      </c>
      <c r="T61" s="191" t="str">
        <f>IF(S61=0,"N.A.","")</f>
        <v>N.A.</v>
      </c>
      <c r="U61" s="385" t="s">
        <v>2628</v>
      </c>
      <c r="V61" s="357" t="e">
        <f>スコア!T151</f>
        <v>#DIV/0!</v>
      </c>
      <c r="W61" s="191" t="e">
        <f>IF(V61=0,"N.A.","")</f>
        <v>#DIV/0!</v>
      </c>
      <c r="X61" s="189" t="s">
        <v>2629</v>
      </c>
      <c r="Y61" s="357" t="e">
        <f>スコア!T174</f>
        <v>#DIV/0!</v>
      </c>
      <c r="Z61" s="191" t="e">
        <f>IF(Y61=0,"N.A.","")</f>
        <v>#DIV/0!</v>
      </c>
      <c r="AA61" s="236"/>
      <c r="AB61" s="236"/>
    </row>
    <row r="62" spans="1:28" s="154" customFormat="1" ht="15.75" customHeight="1" thickBot="1">
      <c r="A62" s="144"/>
      <c r="B62" s="386"/>
      <c r="C62" s="387"/>
      <c r="D62" s="388"/>
      <c r="E62" s="387"/>
      <c r="F62" s="389"/>
      <c r="G62" s="389"/>
      <c r="H62" s="389"/>
      <c r="I62" s="390"/>
      <c r="J62" s="254"/>
      <c r="K62" s="254"/>
      <c r="L62" s="254"/>
      <c r="M62" s="391"/>
      <c r="N62" s="391"/>
      <c r="O62" s="392"/>
      <c r="P62" s="144"/>
      <c r="Q62" s="144"/>
      <c r="R62" s="189" t="s">
        <v>2630</v>
      </c>
      <c r="S62" s="384">
        <f>スコア!T129</f>
        <v>0</v>
      </c>
      <c r="T62" s="191" t="str">
        <f>IF(S62=0,"N.A.","")</f>
        <v>N.A.</v>
      </c>
      <c r="U62" s="393" t="s">
        <v>2631</v>
      </c>
      <c r="V62" s="394" t="e">
        <f>スコア!T166</f>
        <v>#DIV/0!</v>
      </c>
      <c r="W62" s="191" t="e">
        <f>IF(V62=0,"N.A.","")</f>
        <v>#DIV/0!</v>
      </c>
      <c r="X62" s="189" t="s">
        <v>2632</v>
      </c>
      <c r="Y62" s="357" t="e">
        <f>スコア!T183</f>
        <v>#DIV/0!</v>
      </c>
      <c r="Z62" s="191" t="e">
        <f>IF(Y62=0,"N.A.","")</f>
        <v>#DIV/0!</v>
      </c>
      <c r="AA62" s="236"/>
      <c r="AB62" s="236"/>
    </row>
    <row r="63" spans="1:28" s="154" customFormat="1" ht="6" customHeight="1" thickBot="1">
      <c r="A63" s="144"/>
      <c r="B63" s="395"/>
      <c r="C63" s="380"/>
      <c r="D63" s="396"/>
      <c r="E63" s="164"/>
      <c r="F63" s="165"/>
      <c r="G63" s="165"/>
      <c r="H63" s="165"/>
      <c r="I63" s="166"/>
      <c r="J63" s="166"/>
      <c r="K63" s="165"/>
      <c r="L63" s="165"/>
      <c r="M63" s="186"/>
      <c r="N63" s="186"/>
      <c r="O63" s="186"/>
      <c r="P63" s="144"/>
      <c r="Q63" s="247"/>
      <c r="R63" s="189" t="s">
        <v>2633</v>
      </c>
      <c r="S63" s="384" t="e">
        <f>スコア!T138</f>
        <v>#DIV/0!</v>
      </c>
      <c r="T63" s="191" t="e">
        <f>IF(S63=0,"N.A.","")</f>
        <v>#DIV/0!</v>
      </c>
      <c r="U63" s="236"/>
      <c r="V63" s="397"/>
      <c r="W63" s="397"/>
      <c r="X63" s="397"/>
      <c r="Y63" s="397"/>
      <c r="Z63" s="397"/>
      <c r="AA63" s="236"/>
      <c r="AB63" s="236"/>
    </row>
    <row r="64" spans="1:28" s="154" customFormat="1" ht="15.5">
      <c r="A64" s="144"/>
      <c r="B64" s="264" t="s">
        <v>2634</v>
      </c>
      <c r="C64" s="398"/>
      <c r="D64" s="399"/>
      <c r="E64" s="398"/>
      <c r="F64" s="398"/>
      <c r="G64" s="398"/>
      <c r="H64" s="400"/>
      <c r="I64" s="401"/>
      <c r="J64" s="398"/>
      <c r="K64" s="398"/>
      <c r="L64" s="398"/>
      <c r="M64" s="402"/>
      <c r="N64" s="402"/>
      <c r="O64" s="403"/>
      <c r="P64" s="144"/>
      <c r="Q64" s="247"/>
      <c r="R64" s="236"/>
      <c r="S64" s="236"/>
      <c r="T64" s="236"/>
      <c r="U64" s="236"/>
      <c r="V64" s="397"/>
      <c r="W64" s="397"/>
      <c r="X64" s="397"/>
      <c r="Y64" s="397"/>
      <c r="Z64" s="397"/>
      <c r="AA64" s="236"/>
      <c r="AB64" s="236"/>
    </row>
    <row r="65" spans="1:28" s="154" customFormat="1" ht="14">
      <c r="A65" s="144"/>
      <c r="B65" s="404" t="s">
        <v>2635</v>
      </c>
      <c r="C65" s="405"/>
      <c r="D65" s="406"/>
      <c r="E65" s="405"/>
      <c r="F65" s="405"/>
      <c r="G65" s="405"/>
      <c r="H65" s="405"/>
      <c r="I65" s="405"/>
      <c r="J65" s="405"/>
      <c r="K65" s="407"/>
      <c r="L65" s="408" t="s">
        <v>2636</v>
      </c>
      <c r="M65" s="409"/>
      <c r="N65" s="409"/>
      <c r="O65" s="410"/>
      <c r="P65" s="144"/>
      <c r="Q65" s="247"/>
      <c r="R65" s="411"/>
      <c r="S65" s="236"/>
      <c r="T65" s="236"/>
      <c r="U65" s="236"/>
      <c r="V65" s="397"/>
      <c r="W65" s="397"/>
      <c r="X65" s="397"/>
      <c r="Y65" s="397"/>
      <c r="Z65" s="397"/>
      <c r="AA65" s="236"/>
      <c r="AB65" s="236"/>
    </row>
    <row r="66" spans="1:28" s="154" customFormat="1" ht="52.5" customHeight="1">
      <c r="A66" s="144"/>
      <c r="B66" s="3072" t="str">
        <f>IF(配慮!D4=配慮!C4,"",配慮!D4)</f>
        <v/>
      </c>
      <c r="C66" s="3073"/>
      <c r="D66" s="3073"/>
      <c r="E66" s="3073"/>
      <c r="F66" s="3073"/>
      <c r="G66" s="3073"/>
      <c r="H66" s="3073"/>
      <c r="I66" s="3073"/>
      <c r="J66" s="3073"/>
      <c r="K66" s="3074"/>
      <c r="L66" s="3075" t="str">
        <f>IF(配慮!D11=配慮!C11,"",配慮!D11)</f>
        <v/>
      </c>
      <c r="M66" s="3076"/>
      <c r="N66" s="3076"/>
      <c r="O66" s="3077"/>
      <c r="P66" s="144"/>
      <c r="Q66" s="247"/>
      <c r="R66" s="236"/>
      <c r="S66" s="236"/>
      <c r="T66" s="236"/>
      <c r="U66" s="236"/>
      <c r="V66" s="397"/>
      <c r="W66" s="397"/>
      <c r="X66" s="397"/>
      <c r="Y66" s="397"/>
      <c r="Z66" s="397"/>
      <c r="AA66" s="236"/>
      <c r="AB66" s="236"/>
    </row>
    <row r="67" spans="1:28" s="154" customFormat="1" ht="14">
      <c r="A67" s="144"/>
      <c r="B67" s="412" t="str">
        <f>配慮!B5</f>
        <v>Q1 
室内環境</v>
      </c>
      <c r="C67" s="409"/>
      <c r="D67" s="409"/>
      <c r="E67" s="409"/>
      <c r="F67" s="409"/>
      <c r="G67" s="413"/>
      <c r="H67" s="414" t="str">
        <f>配慮!B6</f>
        <v>Q2 
サービス性能</v>
      </c>
      <c r="I67" s="415"/>
      <c r="J67" s="415"/>
      <c r="K67" s="416"/>
      <c r="L67" s="417" t="str">
        <f>配慮!B7</f>
        <v>Q3 
室外環境（敷地内）</v>
      </c>
      <c r="M67" s="418"/>
      <c r="N67" s="419"/>
      <c r="O67" s="420"/>
      <c r="P67" s="144"/>
      <c r="Q67" s="247"/>
      <c r="R67" s="236"/>
      <c r="S67" s="236"/>
      <c r="T67" s="236"/>
      <c r="U67" s="236"/>
      <c r="V67" s="236"/>
      <c r="W67" s="236"/>
      <c r="X67" s="236"/>
      <c r="Y67" s="236"/>
      <c r="Z67" s="236"/>
      <c r="AA67" s="236"/>
      <c r="AB67" s="236"/>
    </row>
    <row r="68" spans="1:28" s="154" customFormat="1" ht="50.25" customHeight="1">
      <c r="A68" s="144"/>
      <c r="B68" s="3078" t="str">
        <f>IF(配慮!D5=配慮!C5,"",配慮!D5)</f>
        <v/>
      </c>
      <c r="C68" s="3076"/>
      <c r="D68" s="3076"/>
      <c r="E68" s="3076"/>
      <c r="F68" s="3076"/>
      <c r="G68" s="3079"/>
      <c r="H68" s="3080" t="str">
        <f>IF(配慮!D6=配慮!C6,"",配慮!D6)</f>
        <v/>
      </c>
      <c r="I68" s="3076"/>
      <c r="J68" s="3076"/>
      <c r="K68" s="3079"/>
      <c r="L68" s="3080" t="str">
        <f>IF(配慮!D7=配慮!C7,"",配慮!D7)</f>
        <v/>
      </c>
      <c r="M68" s="3076"/>
      <c r="N68" s="3076"/>
      <c r="O68" s="3077"/>
      <c r="P68" s="144"/>
      <c r="Q68" s="247"/>
      <c r="R68" s="236"/>
      <c r="S68" s="236"/>
      <c r="T68" s="236"/>
      <c r="U68" s="236"/>
      <c r="V68" s="236"/>
      <c r="W68" s="236"/>
      <c r="X68" s="236"/>
      <c r="Y68" s="236"/>
      <c r="Z68" s="236"/>
      <c r="AA68" s="236"/>
      <c r="AB68" s="236"/>
    </row>
    <row r="69" spans="1:28" s="154" customFormat="1" ht="14">
      <c r="A69" s="144"/>
      <c r="B69" s="421" t="str">
        <f>配慮!B8</f>
        <v>LR1 
エネルギー</v>
      </c>
      <c r="C69" s="422"/>
      <c r="D69" s="406"/>
      <c r="E69" s="406"/>
      <c r="F69" s="406"/>
      <c r="G69" s="423"/>
      <c r="H69" s="424" t="str">
        <f>配慮!B9</f>
        <v>LR2 
資源・マテリアル</v>
      </c>
      <c r="I69" s="409"/>
      <c r="J69" s="409"/>
      <c r="K69" s="413"/>
      <c r="L69" s="425" t="str">
        <f>配慮!B10</f>
        <v>LR3 
敷地外環境</v>
      </c>
      <c r="M69" s="422"/>
      <c r="N69" s="406"/>
      <c r="O69" s="426"/>
      <c r="P69" s="144"/>
      <c r="Q69" s="247"/>
      <c r="R69" s="236"/>
      <c r="S69" s="236"/>
      <c r="T69" s="236"/>
      <c r="U69" s="236"/>
      <c r="V69" s="236"/>
      <c r="W69" s="236"/>
      <c r="X69" s="236"/>
      <c r="Y69" s="236"/>
      <c r="Z69" s="236"/>
      <c r="AA69" s="236"/>
      <c r="AB69" s="236"/>
    </row>
    <row r="70" spans="1:28" s="154" customFormat="1" ht="61.5" customHeight="1" thickBot="1">
      <c r="A70" s="144"/>
      <c r="B70" s="3057" t="str">
        <f>IF(配慮!D8=配慮!C8,"",配慮!D8)</f>
        <v/>
      </c>
      <c r="C70" s="3058"/>
      <c r="D70" s="3058"/>
      <c r="E70" s="3058"/>
      <c r="F70" s="3058"/>
      <c r="G70" s="3059"/>
      <c r="H70" s="3060" t="str">
        <f>IF(配慮!C9=配慮!D9,"",配慮!D9)</f>
        <v/>
      </c>
      <c r="I70" s="3058"/>
      <c r="J70" s="3058"/>
      <c r="K70" s="3059"/>
      <c r="L70" s="3060" t="str">
        <f>IF(配慮!D10=配慮!C10,"",配慮!D10)</f>
        <v/>
      </c>
      <c r="M70" s="3058"/>
      <c r="N70" s="3058"/>
      <c r="O70" s="3061"/>
      <c r="P70" s="144"/>
      <c r="Q70" s="247"/>
      <c r="R70" s="236"/>
      <c r="S70" s="236"/>
      <c r="T70" s="236"/>
      <c r="U70" s="236"/>
      <c r="V70" s="236"/>
      <c r="W70" s="236"/>
      <c r="X70" s="236"/>
      <c r="Y70" s="236"/>
      <c r="Z70" s="236"/>
      <c r="AA70" s="236"/>
      <c r="AB70" s="236"/>
    </row>
    <row r="71" spans="1:28" s="154" customFormat="1" ht="8.25" customHeight="1">
      <c r="A71" s="144"/>
      <c r="B71" s="144"/>
      <c r="C71" s="144"/>
      <c r="D71" s="144"/>
      <c r="E71" s="144"/>
      <c r="F71" s="144"/>
      <c r="G71" s="144"/>
      <c r="H71" s="144"/>
      <c r="I71" s="144"/>
      <c r="J71" s="144"/>
      <c r="K71" s="144"/>
      <c r="L71" s="144"/>
      <c r="M71" s="144"/>
      <c r="N71" s="144"/>
      <c r="O71" s="144"/>
      <c r="P71" s="144"/>
      <c r="Q71" s="144"/>
      <c r="R71" s="236"/>
      <c r="S71" s="236"/>
      <c r="T71" s="236"/>
      <c r="U71" s="236"/>
      <c r="V71" s="236"/>
      <c r="W71" s="236"/>
      <c r="X71" s="236"/>
      <c r="Y71" s="236"/>
      <c r="Z71" s="236"/>
      <c r="AA71" s="236"/>
      <c r="AB71" s="236"/>
    </row>
    <row r="72" spans="1:28" s="154" customFormat="1" ht="16" hidden="1" thickBot="1">
      <c r="A72" s="144"/>
      <c r="B72" s="427" t="s">
        <v>2637</v>
      </c>
      <c r="C72" s="428"/>
      <c r="D72" s="429"/>
      <c r="E72" s="428"/>
      <c r="F72" s="428"/>
      <c r="G72" s="428"/>
      <c r="H72" s="428"/>
      <c r="I72" s="428"/>
      <c r="J72" s="430"/>
      <c r="K72" s="431"/>
      <c r="L72" s="431"/>
      <c r="M72" s="431"/>
      <c r="N72" s="432"/>
      <c r="O72" s="433" t="s">
        <v>2638</v>
      </c>
      <c r="P72" s="144"/>
      <c r="Q72" s="144"/>
      <c r="R72" s="236"/>
      <c r="S72" s="236"/>
      <c r="T72" s="236"/>
      <c r="U72" s="236"/>
      <c r="V72" s="236"/>
      <c r="W72" s="236"/>
      <c r="X72" s="236"/>
      <c r="Y72" s="236"/>
      <c r="Z72" s="236"/>
      <c r="AA72" s="236"/>
      <c r="AB72" s="236"/>
    </row>
    <row r="73" spans="1:28" s="154" customFormat="1" ht="15.5" hidden="1">
      <c r="A73" s="144"/>
      <c r="B73" s="434" t="s">
        <v>1333</v>
      </c>
      <c r="C73" s="435"/>
      <c r="D73" s="436"/>
      <c r="E73" s="435"/>
      <c r="F73" s="435"/>
      <c r="G73" s="435"/>
      <c r="H73" s="435"/>
      <c r="I73" s="435"/>
      <c r="J73" s="437"/>
      <c r="K73" s="438"/>
      <c r="L73" s="439"/>
      <c r="M73" s="439"/>
      <c r="N73" s="437"/>
      <c r="O73" s="440" t="s">
        <v>1916</v>
      </c>
      <c r="P73" s="144"/>
      <c r="Q73" s="144"/>
      <c r="R73" s="236"/>
      <c r="S73" s="236"/>
      <c r="T73" s="236"/>
      <c r="U73" s="236"/>
      <c r="V73" s="236"/>
      <c r="W73" s="236"/>
      <c r="X73" s="236"/>
      <c r="Y73" s="236"/>
      <c r="Z73" s="236"/>
      <c r="AA73" s="236"/>
      <c r="AB73" s="236"/>
    </row>
    <row r="74" spans="1:28" s="154" customFormat="1" ht="14" hidden="1">
      <c r="A74" s="144"/>
      <c r="B74" s="441"/>
      <c r="C74" s="442"/>
      <c r="D74" s="443"/>
      <c r="E74" s="444" t="s">
        <v>1334</v>
      </c>
      <c r="F74" s="445"/>
      <c r="G74" s="445"/>
      <c r="H74" s="444" t="s">
        <v>522</v>
      </c>
      <c r="I74" s="445"/>
      <c r="J74" s="444" t="s">
        <v>962</v>
      </c>
      <c r="K74" s="446"/>
      <c r="L74" s="444" t="s">
        <v>963</v>
      </c>
      <c r="M74" s="445"/>
      <c r="N74" s="445"/>
      <c r="O74" s="447" t="s">
        <v>964</v>
      </c>
      <c r="P74" s="144"/>
      <c r="Q74" s="144"/>
      <c r="R74" s="236"/>
      <c r="S74" s="236"/>
      <c r="T74" s="236"/>
      <c r="U74" s="236"/>
      <c r="V74" s="236"/>
      <c r="W74" s="236"/>
      <c r="X74" s="236"/>
      <c r="Y74" s="236"/>
      <c r="Z74" s="236"/>
      <c r="AA74" s="236"/>
      <c r="AB74" s="236"/>
    </row>
    <row r="75" spans="1:28" s="154" customFormat="1" ht="14" hidden="1">
      <c r="A75" s="144"/>
      <c r="B75" s="448"/>
      <c r="C75" s="449" t="s">
        <v>965</v>
      </c>
      <c r="D75" s="450"/>
      <c r="E75" s="451"/>
      <c r="F75" s="452" t="s">
        <v>966</v>
      </c>
      <c r="G75" s="453"/>
      <c r="H75" s="451"/>
      <c r="I75" s="452" t="s">
        <v>967</v>
      </c>
      <c r="J75" s="454"/>
      <c r="K75" s="452" t="s">
        <v>966</v>
      </c>
      <c r="L75" s="455"/>
      <c r="M75" s="456"/>
      <c r="N75" s="457"/>
      <c r="O75" s="458"/>
      <c r="P75" s="144"/>
      <c r="Q75" s="144"/>
      <c r="R75" s="236"/>
      <c r="S75" s="236"/>
      <c r="T75" s="236"/>
      <c r="U75" s="236"/>
      <c r="V75" s="236"/>
      <c r="W75" s="236"/>
      <c r="X75" s="236"/>
      <c r="Y75" s="236"/>
      <c r="Z75" s="236"/>
      <c r="AA75" s="236"/>
      <c r="AB75" s="236"/>
    </row>
    <row r="76" spans="1:28" s="154" customFormat="1" ht="15.5" hidden="1">
      <c r="A76" s="144"/>
      <c r="B76" s="448"/>
      <c r="C76" s="459" t="s">
        <v>968</v>
      </c>
      <c r="D76" s="460"/>
      <c r="E76" s="461"/>
      <c r="F76" s="361" t="s">
        <v>969</v>
      </c>
      <c r="G76" s="361"/>
      <c r="H76" s="461"/>
      <c r="I76" s="361" t="s">
        <v>970</v>
      </c>
      <c r="J76" s="462"/>
      <c r="K76" s="361" t="s">
        <v>969</v>
      </c>
      <c r="L76" s="463"/>
      <c r="N76" s="464"/>
      <c r="O76" s="465"/>
      <c r="P76" s="144"/>
      <c r="Q76" s="144"/>
      <c r="W76" s="236"/>
      <c r="X76" s="236"/>
      <c r="Y76" s="236"/>
      <c r="Z76" s="236"/>
      <c r="AA76" s="236"/>
      <c r="AB76" s="236"/>
    </row>
    <row r="77" spans="1:28" s="154" customFormat="1" ht="14.5" hidden="1">
      <c r="A77" s="466"/>
      <c r="B77" s="467"/>
      <c r="C77" s="468" t="s">
        <v>971</v>
      </c>
      <c r="D77" s="460"/>
      <c r="E77" s="461"/>
      <c r="F77" s="453" t="s">
        <v>972</v>
      </c>
      <c r="G77" s="453"/>
      <c r="H77" s="461"/>
      <c r="I77" s="453" t="s">
        <v>973</v>
      </c>
      <c r="J77" s="462"/>
      <c r="K77" s="453" t="s">
        <v>972</v>
      </c>
      <c r="L77" s="463"/>
      <c r="N77" s="469"/>
      <c r="O77" s="465"/>
      <c r="P77" s="466"/>
      <c r="Q77" s="144"/>
      <c r="W77" s="236"/>
      <c r="X77" s="236"/>
      <c r="Y77" s="236"/>
      <c r="Z77" s="236"/>
      <c r="AA77" s="236"/>
      <c r="AB77" s="236"/>
    </row>
    <row r="78" spans="1:28" s="154" customFormat="1" ht="15.5" hidden="1">
      <c r="A78" s="144"/>
      <c r="B78" s="448"/>
      <c r="C78" s="470" t="s">
        <v>974</v>
      </c>
      <c r="D78" s="460"/>
      <c r="E78" s="461"/>
      <c r="F78" s="361" t="s">
        <v>969</v>
      </c>
      <c r="G78" s="361"/>
      <c r="H78" s="461"/>
      <c r="I78" s="361" t="s">
        <v>970</v>
      </c>
      <c r="J78" s="462"/>
      <c r="K78" s="361" t="s">
        <v>969</v>
      </c>
      <c r="L78" s="463"/>
      <c r="N78" s="464"/>
      <c r="O78" s="471"/>
      <c r="P78" s="144"/>
      <c r="Q78" s="144"/>
      <c r="W78" s="236"/>
      <c r="X78" s="236"/>
      <c r="Y78" s="236"/>
      <c r="Z78" s="236"/>
      <c r="AA78" s="236"/>
      <c r="AB78" s="236"/>
    </row>
    <row r="79" spans="1:28" s="154" customFormat="1" ht="14" hidden="1">
      <c r="A79" s="144"/>
      <c r="B79" s="448"/>
      <c r="C79" s="470" t="s">
        <v>975</v>
      </c>
      <c r="D79" s="460"/>
      <c r="E79" s="461"/>
      <c r="F79" s="472" t="s">
        <v>976</v>
      </c>
      <c r="G79" s="361"/>
      <c r="H79" s="461"/>
      <c r="I79" s="472" t="s">
        <v>977</v>
      </c>
      <c r="J79" s="462"/>
      <c r="K79" s="472" t="s">
        <v>976</v>
      </c>
      <c r="L79" s="463"/>
      <c r="N79" s="464"/>
      <c r="O79" s="187"/>
      <c r="P79" s="144"/>
      <c r="Q79" s="144"/>
      <c r="W79" s="236"/>
      <c r="X79" s="236"/>
      <c r="Y79" s="236"/>
      <c r="Z79" s="236"/>
      <c r="AA79" s="236"/>
      <c r="AB79" s="236"/>
    </row>
    <row r="80" spans="1:28" s="154" customFormat="1" ht="14" hidden="1">
      <c r="A80" s="144"/>
      <c r="B80" s="448"/>
      <c r="C80" s="470" t="s">
        <v>978</v>
      </c>
      <c r="D80" s="460"/>
      <c r="E80" s="461"/>
      <c r="F80" s="472" t="s">
        <v>976</v>
      </c>
      <c r="G80" s="361"/>
      <c r="H80" s="461"/>
      <c r="I80" s="472" t="s">
        <v>977</v>
      </c>
      <c r="J80" s="462"/>
      <c r="K80" s="472" t="s">
        <v>976</v>
      </c>
      <c r="L80" s="463"/>
      <c r="N80" s="464"/>
      <c r="O80" s="465"/>
      <c r="P80" s="144"/>
      <c r="Q80" s="144"/>
      <c r="W80" s="236"/>
      <c r="X80" s="236"/>
      <c r="Y80" s="236"/>
      <c r="Z80" s="236"/>
      <c r="AA80" s="236"/>
      <c r="AB80" s="236"/>
    </row>
    <row r="81" spans="1:47" s="154" customFormat="1" ht="14.5" hidden="1" thickBot="1">
      <c r="A81" s="144"/>
      <c r="B81" s="473"/>
      <c r="C81" s="474"/>
      <c r="D81" s="475"/>
      <c r="E81" s="476"/>
      <c r="F81" s="477"/>
      <c r="G81" s="387"/>
      <c r="H81" s="476"/>
      <c r="I81" s="477"/>
      <c r="J81" s="478"/>
      <c r="K81" s="477"/>
      <c r="L81" s="463"/>
      <c r="N81" s="479"/>
      <c r="O81" s="480"/>
      <c r="P81" s="144"/>
      <c r="Q81" s="144"/>
      <c r="W81" s="236"/>
      <c r="X81" s="236"/>
      <c r="Y81" s="236"/>
      <c r="Z81" s="236"/>
      <c r="AA81" s="236"/>
      <c r="AB81" s="236"/>
    </row>
    <row r="82" spans="1:47" s="154" customFormat="1" ht="16" hidden="1" thickBot="1">
      <c r="A82" s="144"/>
      <c r="B82" s="481" t="s">
        <v>979</v>
      </c>
      <c r="C82" s="482"/>
      <c r="D82" s="483"/>
      <c r="E82" s="484"/>
      <c r="F82" s="485"/>
      <c r="G82" s="485"/>
      <c r="H82" s="485"/>
      <c r="I82" s="485"/>
      <c r="J82" s="485"/>
      <c r="K82" s="485"/>
      <c r="L82" s="485"/>
      <c r="M82" s="485"/>
      <c r="N82" s="485"/>
      <c r="O82" s="486"/>
      <c r="P82" s="144"/>
      <c r="Q82" s="144"/>
      <c r="W82" s="236"/>
      <c r="X82" s="236"/>
      <c r="Y82" s="236"/>
      <c r="Z82" s="236"/>
      <c r="AA82" s="236"/>
      <c r="AB82" s="236"/>
    </row>
    <row r="83" spans="1:47" s="154" customFormat="1" ht="15.5" hidden="1">
      <c r="A83" s="144"/>
      <c r="B83" s="487" t="s">
        <v>980</v>
      </c>
      <c r="C83" s="488"/>
      <c r="D83" s="489"/>
      <c r="E83" s="490"/>
      <c r="F83" s="491"/>
      <c r="G83" s="491"/>
      <c r="H83" s="491"/>
      <c r="I83" s="489"/>
      <c r="J83" s="492" t="s">
        <v>981</v>
      </c>
      <c r="K83" s="493"/>
      <c r="L83" s="494"/>
      <c r="M83" s="488"/>
      <c r="N83" s="488"/>
      <c r="O83" s="495"/>
      <c r="P83" s="144"/>
      <c r="Q83" s="144"/>
      <c r="W83" s="236"/>
      <c r="X83" s="236"/>
      <c r="Y83" s="236"/>
      <c r="Z83" s="236"/>
      <c r="AA83" s="236"/>
      <c r="AB83" s="236"/>
    </row>
    <row r="84" spans="1:47" s="154" customFormat="1" ht="14" hidden="1">
      <c r="A84" s="144"/>
      <c r="B84" s="496"/>
      <c r="C84" s="497" t="s">
        <v>982</v>
      </c>
      <c r="D84" s="498"/>
      <c r="E84" s="498"/>
      <c r="F84" s="498"/>
      <c r="G84" s="498"/>
      <c r="H84" s="498"/>
      <c r="I84" s="498"/>
      <c r="J84" s="499" t="s">
        <v>983</v>
      </c>
      <c r="L84" s="500"/>
      <c r="M84" s="276"/>
      <c r="N84" s="276"/>
      <c r="O84" s="277"/>
      <c r="P84" s="144"/>
      <c r="Q84" s="144"/>
      <c r="W84" s="236"/>
      <c r="X84" s="236"/>
      <c r="Y84" s="236"/>
      <c r="Z84" s="236"/>
      <c r="AA84" s="236"/>
      <c r="AB84" s="236"/>
    </row>
    <row r="85" spans="1:47" s="154" customFormat="1" ht="14" hidden="1">
      <c r="A85" s="144"/>
      <c r="B85" s="496"/>
      <c r="C85" s="497"/>
      <c r="D85" s="498"/>
      <c r="E85" s="498"/>
      <c r="F85" s="498"/>
      <c r="G85" s="498"/>
      <c r="H85" s="498"/>
      <c r="I85" s="498"/>
      <c r="J85" s="499"/>
      <c r="L85" s="500"/>
      <c r="M85" s="276"/>
      <c r="N85" s="276"/>
      <c r="O85" s="277"/>
      <c r="P85" s="144"/>
      <c r="Q85" s="144"/>
      <c r="W85" s="236"/>
      <c r="X85" s="236"/>
      <c r="Y85" s="236"/>
      <c r="Z85" s="236"/>
      <c r="AA85" s="236"/>
      <c r="AB85" s="236"/>
    </row>
    <row r="86" spans="1:47" s="154" customFormat="1" ht="14.5" hidden="1" thickBot="1">
      <c r="A86" s="144"/>
      <c r="B86" s="501"/>
      <c r="C86" s="502"/>
      <c r="D86" s="503"/>
      <c r="E86" s="503"/>
      <c r="F86" s="503"/>
      <c r="G86" s="503"/>
      <c r="H86" s="503"/>
      <c r="I86" s="503"/>
      <c r="J86" s="504"/>
      <c r="K86" s="253"/>
      <c r="L86" s="505"/>
      <c r="M86" s="505"/>
      <c r="N86" s="505"/>
      <c r="O86" s="506"/>
      <c r="P86" s="144"/>
      <c r="Q86" s="144"/>
      <c r="W86" s="153"/>
      <c r="X86" s="153"/>
      <c r="Y86" s="153"/>
      <c r="Z86" s="153"/>
      <c r="AA86" s="153"/>
      <c r="AB86" s="153"/>
    </row>
    <row r="87" spans="1:47" ht="14" hidden="1">
      <c r="B87" s="361"/>
      <c r="C87" s="361"/>
      <c r="D87" s="377"/>
      <c r="E87" s="361"/>
      <c r="F87" s="165"/>
      <c r="G87" s="165"/>
      <c r="H87" s="165"/>
      <c r="I87" s="166"/>
      <c r="J87" s="166"/>
      <c r="K87" s="165"/>
      <c r="L87" s="165"/>
      <c r="M87" s="186"/>
      <c r="N87" s="186"/>
      <c r="O87" s="186"/>
      <c r="S87" s="154"/>
      <c r="W87" s="153"/>
      <c r="X87" s="153"/>
      <c r="Y87" s="153"/>
      <c r="Z87" s="153"/>
      <c r="AA87" s="153"/>
      <c r="AB87" s="153"/>
      <c r="AC87" s="154"/>
      <c r="AD87" s="154"/>
      <c r="AE87" s="154"/>
      <c r="AF87" s="154"/>
      <c r="AG87" s="154"/>
      <c r="AH87" s="154"/>
      <c r="AI87" s="154"/>
      <c r="AJ87" s="154"/>
      <c r="AK87" s="154"/>
      <c r="AL87" s="154"/>
      <c r="AM87" s="154"/>
      <c r="AN87" s="154"/>
      <c r="AO87" s="154"/>
      <c r="AP87" s="154"/>
      <c r="AQ87" s="154"/>
      <c r="AR87" s="154"/>
      <c r="AS87" s="154"/>
      <c r="AT87" s="154"/>
      <c r="AU87" s="154"/>
    </row>
    <row r="88" spans="1:47" ht="14" hidden="1">
      <c r="B88" s="508"/>
      <c r="C88" s="509"/>
      <c r="D88" s="510"/>
      <c r="E88" s="511"/>
      <c r="F88" s="511"/>
      <c r="G88" s="511"/>
      <c r="H88" s="511"/>
      <c r="I88" s="512"/>
      <c r="J88" s="513"/>
      <c r="K88" s="512"/>
      <c r="L88" s="514"/>
      <c r="M88" s="512"/>
      <c r="N88" s="515"/>
      <c r="O88" s="516"/>
      <c r="R88" s="153"/>
      <c r="S88" s="153"/>
      <c r="T88" s="153"/>
      <c r="U88" s="153"/>
      <c r="V88" s="153"/>
      <c r="W88" s="153"/>
      <c r="X88" s="153"/>
      <c r="Y88" s="153"/>
      <c r="Z88" s="153"/>
      <c r="AA88" s="153"/>
      <c r="AB88" s="153"/>
      <c r="AC88" s="154"/>
      <c r="AD88" s="154"/>
      <c r="AE88" s="154"/>
      <c r="AF88" s="154"/>
      <c r="AG88" s="154"/>
      <c r="AH88" s="154"/>
      <c r="AI88" s="154"/>
      <c r="AJ88" s="154"/>
      <c r="AK88" s="154"/>
      <c r="AL88" s="154"/>
      <c r="AM88" s="154"/>
      <c r="AN88" s="154"/>
      <c r="AO88" s="154"/>
      <c r="AP88" s="154"/>
      <c r="AQ88" s="154"/>
      <c r="AR88" s="154"/>
      <c r="AS88" s="154"/>
      <c r="AT88" s="154"/>
      <c r="AU88" s="154"/>
    </row>
    <row r="89" spans="1:47" ht="14" hidden="1">
      <c r="B89" s="517"/>
      <c r="C89" s="518" t="s">
        <v>984</v>
      </c>
      <c r="D89" s="519" t="s">
        <v>1917</v>
      </c>
      <c r="E89" s="520" t="s">
        <v>1918</v>
      </c>
      <c r="G89" s="154"/>
      <c r="H89" s="520" t="s">
        <v>1919</v>
      </c>
      <c r="J89" s="523" t="s">
        <v>1920</v>
      </c>
      <c r="L89" s="523" t="s">
        <v>1921</v>
      </c>
      <c r="N89" s="525" t="s">
        <v>1922</v>
      </c>
      <c r="O89" s="526"/>
      <c r="R89" s="153"/>
      <c r="S89" s="153"/>
      <c r="T89" s="153"/>
      <c r="U89" s="153"/>
      <c r="V89" s="153"/>
      <c r="W89" s="153"/>
      <c r="X89" s="153"/>
      <c r="Y89" s="153"/>
      <c r="Z89" s="153"/>
      <c r="AA89" s="153"/>
      <c r="AB89" s="153"/>
      <c r="AC89" s="154"/>
      <c r="AD89" s="154"/>
      <c r="AE89" s="154"/>
      <c r="AF89" s="154"/>
      <c r="AG89" s="154"/>
      <c r="AH89" s="154"/>
      <c r="AI89" s="154"/>
      <c r="AJ89" s="154"/>
      <c r="AK89" s="154"/>
      <c r="AL89" s="154"/>
      <c r="AM89" s="154"/>
      <c r="AN89" s="154"/>
      <c r="AO89" s="154"/>
      <c r="AP89" s="154"/>
      <c r="AQ89" s="154"/>
      <c r="AR89" s="154"/>
      <c r="AS89" s="154"/>
      <c r="AT89" s="154"/>
      <c r="AU89" s="154"/>
    </row>
    <row r="90" spans="1:47" ht="14" hidden="1">
      <c r="A90" s="247"/>
      <c r="B90" s="517"/>
      <c r="C90" s="518" t="s">
        <v>2763</v>
      </c>
      <c r="D90" s="527" t="s">
        <v>2571</v>
      </c>
      <c r="E90" s="528"/>
      <c r="F90" s="529"/>
      <c r="G90" s="529"/>
      <c r="H90" s="529"/>
      <c r="I90" s="530"/>
      <c r="J90" s="530"/>
      <c r="K90" s="531"/>
      <c r="L90" s="531"/>
      <c r="M90" s="186"/>
      <c r="N90" s="186"/>
      <c r="O90" s="532"/>
      <c r="P90" s="247"/>
      <c r="Q90" s="247"/>
    </row>
    <row r="91" spans="1:47" ht="14" hidden="1">
      <c r="B91" s="534"/>
      <c r="C91" s="518" t="s">
        <v>2572</v>
      </c>
      <c r="D91" s="535" t="s">
        <v>2573</v>
      </c>
      <c r="E91" s="536"/>
      <c r="G91" s="537"/>
      <c r="O91" s="532"/>
    </row>
    <row r="92" spans="1:47" ht="14" hidden="1">
      <c r="B92" s="534"/>
      <c r="C92" s="518"/>
      <c r="D92" s="535" t="s">
        <v>2574</v>
      </c>
      <c r="E92" s="536"/>
      <c r="G92" s="537"/>
      <c r="O92" s="532"/>
    </row>
    <row r="93" spans="1:47" ht="14" hidden="1">
      <c r="B93" s="538"/>
      <c r="C93" s="539" t="s">
        <v>2575</v>
      </c>
      <c r="D93" s="540" t="s">
        <v>1923</v>
      </c>
      <c r="E93" s="541"/>
      <c r="F93" s="542"/>
      <c r="G93" s="543"/>
      <c r="H93" s="542"/>
      <c r="I93" s="544"/>
      <c r="J93" s="544"/>
      <c r="K93" s="542"/>
      <c r="L93" s="542"/>
      <c r="M93" s="545"/>
      <c r="N93" s="545"/>
      <c r="O93" s="546"/>
    </row>
    <row r="94" spans="1:47" ht="14">
      <c r="G94" s="537"/>
      <c r="O94" s="186"/>
    </row>
    <row r="95" spans="1:47" ht="14">
      <c r="G95" s="537"/>
      <c r="L95" s="537"/>
      <c r="M95" s="186"/>
      <c r="O95" s="186"/>
    </row>
    <row r="96" spans="1:47" ht="14">
      <c r="E96" s="524"/>
      <c r="F96" s="548"/>
      <c r="G96" s="537"/>
      <c r="H96" s="537"/>
      <c r="I96" s="531"/>
      <c r="L96" s="537"/>
      <c r="M96" s="186"/>
      <c r="O96" s="186"/>
    </row>
    <row r="97" spans="2:15" ht="14">
      <c r="C97" s="549"/>
      <c r="D97" s="379"/>
      <c r="E97" s="524"/>
      <c r="F97" s="548"/>
      <c r="G97" s="537"/>
      <c r="H97" s="537"/>
      <c r="I97" s="531"/>
      <c r="J97" s="531"/>
      <c r="K97" s="537"/>
      <c r="L97" s="537"/>
      <c r="M97" s="186"/>
      <c r="O97" s="186"/>
    </row>
    <row r="98" spans="2:15" ht="14">
      <c r="B98" s="550"/>
      <c r="C98" s="551"/>
      <c r="D98" s="552"/>
      <c r="E98" s="524"/>
      <c r="F98" s="548"/>
      <c r="G98" s="529"/>
      <c r="H98" s="529"/>
      <c r="I98" s="530"/>
      <c r="J98" s="530"/>
      <c r="K98" s="531"/>
      <c r="L98" s="531"/>
      <c r="M98" s="186"/>
      <c r="O98" s="186"/>
    </row>
    <row r="99" spans="2:15" ht="14" hidden="1">
      <c r="B99" s="550"/>
      <c r="C99" s="550"/>
      <c r="D99" s="553"/>
      <c r="G99" s="529"/>
      <c r="H99" s="529"/>
      <c r="I99" s="530"/>
      <c r="J99" s="530"/>
      <c r="K99" s="531"/>
      <c r="L99" s="531"/>
      <c r="M99" s="186"/>
      <c r="N99" s="186"/>
      <c r="O99" s="186"/>
    </row>
    <row r="100" spans="2:15" ht="14" hidden="1">
      <c r="E100" s="164"/>
      <c r="F100" s="165"/>
      <c r="G100" s="165"/>
      <c r="H100" s="165"/>
      <c r="I100" s="166"/>
      <c r="J100" s="166"/>
      <c r="K100" s="165"/>
      <c r="L100" s="165"/>
      <c r="M100" s="186"/>
      <c r="N100" s="186"/>
      <c r="O100" s="186"/>
    </row>
    <row r="101" spans="2:15" ht="14" hidden="1">
      <c r="E101" s="164"/>
      <c r="F101" s="165"/>
      <c r="G101" s="165"/>
      <c r="H101" s="165"/>
      <c r="I101" s="166"/>
      <c r="J101" s="166"/>
      <c r="K101" s="165"/>
      <c r="L101" s="165"/>
      <c r="M101" s="186"/>
      <c r="N101" s="186"/>
      <c r="O101" s="186"/>
    </row>
    <row r="102" spans="2:15" ht="14" hidden="1">
      <c r="E102" s="164"/>
      <c r="F102" s="165"/>
      <c r="G102" s="165"/>
      <c r="H102" s="165"/>
      <c r="I102" s="166"/>
      <c r="J102" s="166"/>
      <c r="K102" s="165"/>
      <c r="L102" s="165"/>
      <c r="M102" s="186"/>
      <c r="N102" s="186"/>
      <c r="O102" s="186"/>
    </row>
    <row r="103" spans="2:15" ht="14" hidden="1">
      <c r="E103" s="164"/>
      <c r="F103" s="165"/>
      <c r="G103" s="165"/>
      <c r="H103" s="165"/>
      <c r="I103" s="166"/>
      <c r="J103" s="166"/>
      <c r="K103" s="165"/>
      <c r="L103" s="165"/>
      <c r="M103" s="186"/>
      <c r="N103" s="186"/>
      <c r="O103" s="186"/>
    </row>
    <row r="104" spans="2:15" ht="14" hidden="1">
      <c r="E104" s="164"/>
      <c r="F104" s="165"/>
      <c r="G104" s="165"/>
      <c r="H104" s="165"/>
      <c r="I104" s="166"/>
      <c r="J104" s="166"/>
      <c r="K104" s="165"/>
      <c r="L104" s="165"/>
      <c r="M104" s="186"/>
      <c r="N104" s="186"/>
      <c r="O104" s="186"/>
    </row>
    <row r="105" spans="2:15" ht="14" hidden="1">
      <c r="E105" s="164"/>
      <c r="F105" s="165"/>
      <c r="G105" s="165"/>
      <c r="H105" s="165"/>
      <c r="I105" s="166"/>
      <c r="J105" s="166"/>
      <c r="K105" s="165"/>
      <c r="L105" s="165"/>
      <c r="M105" s="186"/>
      <c r="N105" s="186"/>
      <c r="O105" s="186"/>
    </row>
    <row r="106" spans="2:15" ht="14" hidden="1">
      <c r="E106" s="164"/>
      <c r="F106" s="165"/>
      <c r="G106" s="165"/>
      <c r="H106" s="165"/>
      <c r="I106" s="166"/>
      <c r="J106" s="166"/>
      <c r="K106" s="165"/>
      <c r="L106" s="165"/>
      <c r="M106" s="186"/>
      <c r="N106" s="186"/>
      <c r="O106" s="186"/>
    </row>
    <row r="107" spans="2:15" ht="14" hidden="1">
      <c r="E107" s="164"/>
      <c r="F107" s="165"/>
      <c r="G107" s="165"/>
      <c r="H107" s="165"/>
      <c r="I107" s="166"/>
      <c r="J107" s="166"/>
      <c r="K107" s="165"/>
      <c r="L107" s="165"/>
      <c r="M107" s="186"/>
      <c r="N107" s="186"/>
      <c r="O107" s="186"/>
    </row>
    <row r="108" spans="2:15" ht="14" hidden="1">
      <c r="E108" s="164"/>
      <c r="F108" s="165"/>
      <c r="G108" s="165"/>
      <c r="H108" s="165"/>
      <c r="I108" s="166"/>
      <c r="J108" s="166"/>
      <c r="K108" s="165"/>
      <c r="L108" s="165"/>
      <c r="M108" s="186"/>
      <c r="N108" s="186"/>
      <c r="O108" s="186"/>
    </row>
    <row r="109" spans="2:15" ht="14" hidden="1">
      <c r="E109" s="164"/>
      <c r="F109" s="165"/>
      <c r="G109" s="165"/>
      <c r="H109" s="165"/>
      <c r="I109" s="166"/>
      <c r="J109" s="166"/>
      <c r="K109" s="165"/>
      <c r="L109" s="165"/>
      <c r="M109" s="186"/>
      <c r="N109" s="186"/>
      <c r="O109" s="186"/>
    </row>
    <row r="110" spans="2:15" ht="14" hidden="1">
      <c r="E110" s="164"/>
      <c r="F110" s="165"/>
      <c r="G110" s="165"/>
      <c r="H110" s="165"/>
      <c r="I110" s="166"/>
      <c r="J110" s="166"/>
      <c r="K110" s="165"/>
      <c r="L110" s="165"/>
      <c r="M110" s="186"/>
      <c r="N110" s="186"/>
      <c r="O110" s="186"/>
    </row>
    <row r="111" spans="2:15" ht="14" hidden="1">
      <c r="E111" s="164"/>
      <c r="F111" s="165"/>
      <c r="G111" s="165"/>
      <c r="H111" s="165"/>
      <c r="I111" s="166"/>
      <c r="J111" s="166"/>
      <c r="K111" s="165"/>
      <c r="L111" s="165"/>
      <c r="M111" s="186"/>
      <c r="N111" s="186"/>
      <c r="O111" s="186"/>
    </row>
    <row r="112" spans="2:15" ht="14" hidden="1">
      <c r="E112" s="164"/>
      <c r="F112" s="165"/>
      <c r="G112" s="165"/>
      <c r="H112" s="165"/>
      <c r="I112" s="166"/>
      <c r="J112" s="166"/>
      <c r="K112" s="165"/>
      <c r="L112" s="165"/>
      <c r="M112" s="186"/>
      <c r="N112" s="186"/>
      <c r="O112" s="186"/>
    </row>
    <row r="113" spans="5:15" ht="14" hidden="1">
      <c r="E113" s="164"/>
      <c r="F113" s="165"/>
      <c r="G113" s="165"/>
      <c r="H113" s="165"/>
      <c r="I113" s="166"/>
      <c r="J113" s="166"/>
      <c r="K113" s="165"/>
      <c r="L113" s="165"/>
      <c r="M113" s="186"/>
      <c r="N113" s="186"/>
      <c r="O113" s="186"/>
    </row>
    <row r="114" spans="5:15" ht="14" hidden="1">
      <c r="E114" s="164"/>
      <c r="F114" s="165"/>
      <c r="G114" s="165"/>
      <c r="H114" s="165"/>
      <c r="I114" s="166"/>
      <c r="J114" s="166"/>
      <c r="K114" s="165"/>
      <c r="L114" s="165"/>
      <c r="M114" s="186"/>
      <c r="N114" s="186"/>
      <c r="O114" s="186"/>
    </row>
    <row r="115" spans="5:15" ht="14" hidden="1">
      <c r="E115" s="164"/>
      <c r="F115" s="165"/>
      <c r="G115" s="165"/>
      <c r="H115" s="165"/>
      <c r="I115" s="166"/>
      <c r="J115" s="166"/>
      <c r="K115" s="165"/>
      <c r="L115" s="165"/>
      <c r="M115" s="186"/>
      <c r="N115" s="186"/>
      <c r="O115" s="186"/>
    </row>
    <row r="116" spans="5:15" ht="14" hidden="1">
      <c r="E116" s="164"/>
      <c r="F116" s="165"/>
      <c r="G116" s="165"/>
      <c r="H116" s="165"/>
      <c r="I116" s="166"/>
      <c r="J116" s="166"/>
      <c r="K116" s="165"/>
      <c r="L116" s="165"/>
      <c r="M116" s="186"/>
      <c r="N116" s="186"/>
      <c r="O116" s="186"/>
    </row>
    <row r="117" spans="5:15" ht="14" hidden="1">
      <c r="E117" s="164"/>
      <c r="F117" s="165"/>
      <c r="G117" s="165"/>
      <c r="H117" s="165"/>
      <c r="I117" s="166"/>
      <c r="J117" s="166"/>
      <c r="K117" s="165"/>
      <c r="L117" s="165"/>
      <c r="M117" s="186"/>
      <c r="N117" s="186"/>
      <c r="O117" s="186"/>
    </row>
    <row r="118" spans="5:15" ht="14" hidden="1">
      <c r="E118" s="164"/>
      <c r="F118" s="165"/>
      <c r="G118" s="165"/>
      <c r="H118" s="165"/>
      <c r="I118" s="166"/>
      <c r="J118" s="166"/>
      <c r="K118" s="165"/>
      <c r="L118" s="165"/>
      <c r="M118" s="186"/>
      <c r="N118" s="186"/>
      <c r="O118" s="186"/>
    </row>
    <row r="119" spans="5:15" ht="14" hidden="1">
      <c r="E119" s="164"/>
      <c r="F119" s="165"/>
      <c r="G119" s="165"/>
      <c r="H119" s="165"/>
      <c r="I119" s="166"/>
      <c r="J119" s="166"/>
      <c r="K119" s="165"/>
      <c r="L119" s="165"/>
      <c r="M119" s="186"/>
      <c r="N119" s="186"/>
      <c r="O119" s="186"/>
    </row>
    <row r="120" spans="5:15" ht="14" hidden="1">
      <c r="E120" s="164"/>
      <c r="F120" s="165"/>
      <c r="G120" s="165"/>
      <c r="H120" s="165"/>
      <c r="I120" s="166"/>
      <c r="J120" s="166"/>
      <c r="K120" s="165"/>
      <c r="L120" s="165"/>
      <c r="M120" s="186"/>
      <c r="N120" s="186"/>
      <c r="O120" s="186"/>
    </row>
    <row r="121" spans="5:15" ht="14" hidden="1">
      <c r="E121" s="164"/>
      <c r="F121" s="165"/>
      <c r="G121" s="165"/>
      <c r="H121" s="165"/>
      <c r="I121" s="166"/>
      <c r="J121" s="166"/>
      <c r="K121" s="165"/>
      <c r="L121" s="165"/>
      <c r="M121" s="186"/>
      <c r="N121" s="186"/>
      <c r="O121" s="186"/>
    </row>
    <row r="122" spans="5:15" ht="14" hidden="1">
      <c r="E122" s="164"/>
      <c r="F122" s="165"/>
      <c r="G122" s="165"/>
      <c r="H122" s="165"/>
      <c r="I122" s="166"/>
      <c r="J122" s="166"/>
      <c r="K122" s="165"/>
      <c r="L122" s="165"/>
      <c r="M122" s="186"/>
      <c r="N122" s="186"/>
      <c r="O122" s="186"/>
    </row>
    <row r="123" spans="5:15" ht="14" hidden="1">
      <c r="E123" s="164"/>
      <c r="F123" s="165"/>
      <c r="G123" s="165"/>
      <c r="H123" s="165"/>
      <c r="I123" s="166"/>
      <c r="J123" s="166"/>
      <c r="K123" s="165"/>
      <c r="L123" s="165"/>
      <c r="M123" s="186"/>
      <c r="N123" s="186"/>
      <c r="O123" s="186"/>
    </row>
    <row r="124" spans="5:15" ht="14" hidden="1">
      <c r="E124" s="164"/>
      <c r="F124" s="165"/>
      <c r="G124" s="165"/>
      <c r="H124" s="165"/>
      <c r="I124" s="166"/>
      <c r="J124" s="166"/>
      <c r="K124" s="165"/>
      <c r="L124" s="165"/>
      <c r="M124" s="186"/>
      <c r="N124" s="186"/>
      <c r="O124" s="186"/>
    </row>
    <row r="125" spans="5:15" ht="14" hidden="1">
      <c r="E125" s="164"/>
      <c r="F125" s="165"/>
      <c r="G125" s="165"/>
      <c r="H125" s="165"/>
      <c r="I125" s="166"/>
      <c r="J125" s="166"/>
      <c r="K125" s="165"/>
      <c r="L125" s="165"/>
      <c r="M125" s="186"/>
      <c r="N125" s="186"/>
      <c r="O125" s="186"/>
    </row>
    <row r="126" spans="5:15" ht="14" hidden="1">
      <c r="E126" s="164"/>
      <c r="F126" s="165"/>
      <c r="G126" s="165"/>
      <c r="H126" s="165"/>
      <c r="I126" s="166"/>
      <c r="J126" s="166"/>
      <c r="K126" s="165"/>
      <c r="L126" s="165"/>
      <c r="M126" s="186"/>
      <c r="N126" s="186"/>
      <c r="O126" s="186"/>
    </row>
    <row r="127" spans="5:15" ht="14" hidden="1">
      <c r="E127" s="164"/>
      <c r="F127" s="165"/>
      <c r="G127" s="165"/>
      <c r="H127" s="165"/>
      <c r="I127" s="166"/>
      <c r="J127" s="166"/>
      <c r="K127" s="165"/>
      <c r="L127" s="165"/>
      <c r="M127" s="186"/>
      <c r="N127" s="186"/>
      <c r="O127" s="186"/>
    </row>
    <row r="128" spans="5:15" ht="14" hidden="1">
      <c r="E128" s="164"/>
      <c r="F128" s="165"/>
      <c r="G128" s="165"/>
      <c r="H128" s="165"/>
      <c r="I128" s="166"/>
      <c r="J128" s="166"/>
      <c r="K128" s="165"/>
      <c r="L128" s="165"/>
      <c r="M128" s="186"/>
      <c r="N128" s="186"/>
      <c r="O128" s="186"/>
    </row>
    <row r="129" spans="5:15" ht="14" hidden="1">
      <c r="E129" s="164"/>
      <c r="F129" s="165"/>
      <c r="G129" s="165"/>
      <c r="H129" s="165"/>
      <c r="I129" s="166"/>
      <c r="J129" s="166"/>
      <c r="K129" s="165"/>
      <c r="L129" s="165"/>
      <c r="M129" s="186"/>
      <c r="N129" s="186"/>
      <c r="O129" s="186"/>
    </row>
    <row r="130" spans="5:15" ht="14" hidden="1"/>
    <row r="131" spans="5:15" ht="14" hidden="1"/>
    <row r="132" spans="5:15" ht="14" hidden="1"/>
    <row r="133" spans="5:15" ht="14" hidden="1"/>
    <row r="134" spans="5:15" ht="14" hidden="1"/>
    <row r="135" spans="5:15" ht="14" hidden="1"/>
    <row r="136" spans="5:15" ht="14" hidden="1"/>
    <row r="137" spans="5:15" ht="14" hidden="1"/>
    <row r="138" spans="5:15" ht="14" hidden="1"/>
    <row r="139" spans="5:15" ht="14" hidden="1"/>
    <row r="140" spans="5:15" ht="14" hidden="1"/>
    <row r="141" spans="5:15" ht="14" hidden="1"/>
    <row r="142" spans="5:15" ht="14" hidden="1"/>
    <row r="143" spans="5:15" ht="14" hidden="1"/>
    <row r="144" spans="5:15"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0" hidden="1" customHeight="1"/>
    <row r="214" ht="0" hidden="1" customHeight="1"/>
    <row r="215" ht="0" hidden="1" customHeight="1"/>
  </sheetData>
  <sheetProtection sheet="1" objects="1" scenarios="1"/>
  <mergeCells count="14">
    <mergeCell ref="Q2:Q5"/>
    <mergeCell ref="K5:L5"/>
    <mergeCell ref="N5:O5"/>
    <mergeCell ref="B70:G70"/>
    <mergeCell ref="H70:K70"/>
    <mergeCell ref="L70:O70"/>
    <mergeCell ref="D13:E13"/>
    <mergeCell ref="B66:K66"/>
    <mergeCell ref="L66:O66"/>
    <mergeCell ref="B68:G68"/>
    <mergeCell ref="H37:K39"/>
    <mergeCell ref="H68:K68"/>
    <mergeCell ref="L68:O68"/>
    <mergeCell ref="D14:E14"/>
  </mergeCells>
  <phoneticPr fontId="22"/>
  <conditionalFormatting sqref="I28:K35 H29:H35">
    <cfRule type="expression" dxfId="227" priority="1" stopIfTrue="1">
      <formula>$U$36=$W$37</formula>
    </cfRule>
  </conditionalFormatting>
  <conditionalFormatting sqref="H36:K36">
    <cfRule type="expression" dxfId="226" priority="2" stopIfTrue="1">
      <formula>$U$36=$W$37</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autoPageBreaks="0" fitToPage="1"/>
  </sheetPr>
  <dimension ref="B1:BI196"/>
  <sheetViews>
    <sheetView showGridLines="0" topLeftCell="A148" zoomScaleNormal="100" workbookViewId="0">
      <selection activeCell="I173" sqref="I173:M173"/>
    </sheetView>
  </sheetViews>
  <sheetFormatPr defaultColWidth="0" defaultRowHeight="14" zeroHeight="1"/>
  <cols>
    <col min="1" max="1" width="1.7265625" customWidth="1"/>
    <col min="2" max="2" width="4" customWidth="1"/>
    <col min="3" max="3" width="5.08984375" customWidth="1"/>
    <col min="4" max="4" width="5.36328125" customWidth="1"/>
    <col min="5" max="5" width="25" customWidth="1"/>
    <col min="6" max="6" width="0.36328125" customWidth="1"/>
    <col min="7" max="7" width="4.7265625" hidden="1" customWidth="1"/>
    <col min="8" max="8" width="4.7265625" style="2606" hidden="1" customWidth="1"/>
    <col min="9" max="13" width="9.453125" customWidth="1"/>
    <col min="14" max="14" width="6.7265625" style="2687" hidden="1" customWidth="1"/>
    <col min="15" max="16" width="6.7265625" customWidth="1"/>
    <col min="17" max="17" width="6.7265625" style="2687" hidden="1" customWidth="1"/>
    <col min="18" max="20" width="6.7265625" customWidth="1"/>
    <col min="21" max="21" width="8.7265625" customWidth="1"/>
    <col min="22" max="22" width="8.453125" style="2995" hidden="1" customWidth="1"/>
    <col min="23" max="23" width="7.90625" style="2995" hidden="1" customWidth="1"/>
    <col min="24" max="24" width="6.26953125" hidden="1" customWidth="1"/>
    <col min="25" max="26" width="11.26953125" hidden="1" customWidth="1"/>
    <col min="27" max="27" width="10.08984375" hidden="1" customWidth="1"/>
    <col min="28" max="28" width="11.26953125" hidden="1" customWidth="1"/>
    <col min="29" max="29" width="9.26953125" hidden="1" customWidth="1"/>
    <col min="30" max="30" width="6.26953125" hidden="1" customWidth="1"/>
    <col min="31" max="31" width="17.90625" hidden="1" customWidth="1"/>
    <col min="32" max="32" width="6.26953125" hidden="1" customWidth="1"/>
    <col min="33" max="33" width="13.90625" hidden="1" customWidth="1"/>
    <col min="34" max="34" width="6.26953125" hidden="1" customWidth="1"/>
    <col min="35" max="35" width="21.36328125" hidden="1" customWidth="1"/>
    <col min="36" max="36" width="4.90625" hidden="1" customWidth="1"/>
    <col min="37" max="39" width="6.36328125" hidden="1" customWidth="1"/>
    <col min="40" max="40" width="34.08984375" hidden="1" customWidth="1"/>
    <col min="41" max="41" width="7.26953125" hidden="1" customWidth="1"/>
    <col min="42" max="42" width="17.90625" hidden="1" customWidth="1"/>
    <col min="43" max="43" width="6" hidden="1" customWidth="1"/>
    <col min="44" max="44" width="7.90625" hidden="1" customWidth="1"/>
    <col min="45" max="45" width="26" hidden="1" customWidth="1"/>
    <col min="46" max="46" width="8.453125" hidden="1" customWidth="1"/>
    <col min="47" max="47" width="11.36328125" hidden="1" customWidth="1"/>
    <col min="48" max="48" width="6.26953125" hidden="1" customWidth="1"/>
    <col min="49" max="49" width="9.90625" style="2329" hidden="1" customWidth="1"/>
    <col min="50" max="50" width="6.26953125" style="2329" hidden="1" customWidth="1"/>
    <col min="51" max="51" width="6" style="2329" hidden="1" customWidth="1"/>
    <col min="52" max="52" width="7" hidden="1" customWidth="1"/>
    <col min="53" max="53" width="5.36328125" hidden="1" customWidth="1"/>
    <col min="54" max="55" width="7" hidden="1" customWidth="1"/>
    <col min="56" max="56" width="6.36328125" hidden="1" customWidth="1"/>
    <col min="57" max="57" width="6.6328125" hidden="1" customWidth="1"/>
    <col min="58" max="58" width="8.6328125" hidden="1" customWidth="1"/>
    <col min="59" max="59" width="7" hidden="1" customWidth="1"/>
    <col min="60" max="60" width="6" hidden="1" customWidth="1"/>
    <col min="61" max="61" width="7.90625" hidden="1" customWidth="1"/>
    <col min="62" max="77" width="0" hidden="1" customWidth="1"/>
  </cols>
  <sheetData>
    <row r="1" spans="2:61" ht="6" customHeight="1" thickBot="1"/>
    <row r="2" spans="2:61" ht="16.5">
      <c r="B2" s="554" t="str">
        <f>メイン!C6</f>
        <v>CASBEE-建築(新築)2016年版</v>
      </c>
      <c r="C2" s="555"/>
      <c r="D2" s="556"/>
      <c r="E2" s="557"/>
      <c r="F2" s="558"/>
      <c r="I2" s="560"/>
      <c r="J2" s="560"/>
      <c r="M2" s="1101" t="s">
        <v>2157</v>
      </c>
      <c r="N2" s="1229"/>
      <c r="O2" s="1101"/>
      <c r="P2" s="182" t="str">
        <f>メイン!C6</f>
        <v>CASBEE-建築(新築)2016年版</v>
      </c>
      <c r="Q2" s="182"/>
      <c r="S2" s="561"/>
      <c r="T2" s="561"/>
      <c r="U2" s="562"/>
      <c r="V2" s="2996"/>
      <c r="W2" s="2996"/>
      <c r="Y2" s="2359"/>
      <c r="Z2" s="2359"/>
      <c r="AP2" s="1101" t="s">
        <v>2157</v>
      </c>
      <c r="AR2" s="1101"/>
      <c r="AS2" s="182" t="str">
        <f>メイン!C6</f>
        <v>CASBEE-建築(新築)2016年版</v>
      </c>
      <c r="AT2" s="182"/>
      <c r="AZ2" s="1896" t="s">
        <v>462</v>
      </c>
      <c r="BA2" s="1896" t="s">
        <v>464</v>
      </c>
      <c r="BB2" s="1896" t="s">
        <v>466</v>
      </c>
      <c r="BC2" s="1896" t="s">
        <v>468</v>
      </c>
      <c r="BD2" s="1896" t="s">
        <v>472</v>
      </c>
      <c r="BE2" s="1896" t="s">
        <v>474</v>
      </c>
      <c r="BF2" s="1896" t="s">
        <v>476</v>
      </c>
      <c r="BG2" s="1897" t="s">
        <v>1973</v>
      </c>
      <c r="BH2" s="1896" t="s">
        <v>478</v>
      </c>
      <c r="BI2" s="1896" t="s">
        <v>464</v>
      </c>
    </row>
    <row r="3" spans="2:61" ht="14.25" customHeight="1" thickBot="1">
      <c r="B3" s="3120" t="str">
        <f>メイン!$C$11</f>
        <v>○○ビル</v>
      </c>
      <c r="C3" s="3121"/>
      <c r="D3" s="3121"/>
      <c r="E3" s="3121"/>
      <c r="F3" s="3122"/>
      <c r="I3" s="560"/>
      <c r="J3" s="563"/>
      <c r="K3" s="564" t="s">
        <v>2577</v>
      </c>
      <c r="L3" s="560"/>
      <c r="M3" s="1101" t="s">
        <v>2578</v>
      </c>
      <c r="N3" s="1229"/>
      <c r="O3" s="2382"/>
      <c r="P3" s="565" t="str">
        <f>メイン!C5</f>
        <v>CASBEE-BD_NC_2016(v3.0)</v>
      </c>
      <c r="Q3" s="565"/>
      <c r="S3" s="566"/>
      <c r="T3" s="566"/>
      <c r="U3" s="567"/>
      <c r="V3" s="2982"/>
      <c r="W3" s="2982"/>
      <c r="Y3" s="1">
        <f>メイン!I3</f>
        <v>2</v>
      </c>
      <c r="Z3" s="1" t="str">
        <f>メイン!J3</f>
        <v>NC</v>
      </c>
      <c r="AP3" s="1101" t="s">
        <v>2578</v>
      </c>
      <c r="AR3" s="2382"/>
      <c r="AS3" s="565" t="str">
        <f>メイン!C5</f>
        <v>CASBEE-BD_NC_2016(v3.0)</v>
      </c>
      <c r="AT3" s="565"/>
      <c r="AZ3" s="2338" t="e">
        <f>重み!S7</f>
        <v>#DIV/0!</v>
      </c>
      <c r="BA3" s="2338" t="e">
        <f>重み!T7</f>
        <v>#DIV/0!</v>
      </c>
      <c r="BB3" s="2338" t="e">
        <f>重み!U7</f>
        <v>#DIV/0!</v>
      </c>
      <c r="BC3" s="2338" t="e">
        <f>重み!V7</f>
        <v>#DIV/0!</v>
      </c>
      <c r="BD3" s="2338" t="e">
        <f>重み!W7</f>
        <v>#DIV/0!</v>
      </c>
      <c r="BE3" s="2338" t="e">
        <f>重み!X7</f>
        <v>#DIV/0!</v>
      </c>
      <c r="BF3" s="2338" t="e">
        <f>重み!Y7</f>
        <v>#DIV/0!</v>
      </c>
      <c r="BG3" s="2338" t="e">
        <f>重み!Z7</f>
        <v>#DIV/0!</v>
      </c>
      <c r="BH3" s="2338" t="e">
        <f>重み!AA7</f>
        <v>#DIV/0!</v>
      </c>
      <c r="BI3" s="2338" t="e">
        <f>重み!AB7</f>
        <v>#DIV/0!</v>
      </c>
    </row>
    <row r="4" spans="2:61" ht="3.75" customHeight="1" thickBot="1">
      <c r="B4" s="568"/>
      <c r="C4" s="569"/>
      <c r="D4" s="570"/>
      <c r="E4" s="571"/>
      <c r="F4" s="571"/>
      <c r="I4" s="571"/>
      <c r="J4" s="571"/>
      <c r="K4" s="571"/>
      <c r="L4" s="571"/>
      <c r="M4" s="572"/>
      <c r="N4" s="572"/>
      <c r="O4" s="572"/>
      <c r="P4" s="571"/>
      <c r="Q4" s="571"/>
      <c r="R4" s="571"/>
      <c r="S4" s="571"/>
      <c r="T4" s="573"/>
      <c r="U4" s="567"/>
      <c r="V4" s="2982"/>
      <c r="W4" s="2982"/>
      <c r="AZ4" s="567"/>
      <c r="BA4" s="567"/>
      <c r="BB4" s="567"/>
      <c r="BC4" s="567"/>
      <c r="BD4" s="567"/>
      <c r="BE4" s="567"/>
      <c r="BF4" s="567"/>
      <c r="BG4" s="567"/>
      <c r="BH4" s="567"/>
      <c r="BI4" s="567"/>
    </row>
    <row r="5" spans="2:61" ht="17.25" customHeight="1" thickBot="1">
      <c r="B5" s="481" t="s">
        <v>2579</v>
      </c>
      <c r="C5" s="574"/>
      <c r="D5" s="575"/>
      <c r="E5" s="3101" t="str">
        <f>IF(メイン!E39=0,"",メイン!E39)</f>
        <v/>
      </c>
      <c r="F5" s="3102"/>
      <c r="G5" s="2626"/>
      <c r="H5" s="2605"/>
      <c r="I5" s="576"/>
      <c r="J5" s="576"/>
      <c r="K5" s="576"/>
      <c r="L5" s="576"/>
      <c r="M5" s="576"/>
      <c r="N5" s="577"/>
      <c r="O5" s="577"/>
      <c r="P5" s="577"/>
      <c r="Q5" s="577"/>
      <c r="R5" s="577"/>
      <c r="S5" s="577"/>
      <c r="T5" s="578"/>
      <c r="U5" s="567"/>
      <c r="V5" s="3103" t="s">
        <v>3488</v>
      </c>
      <c r="W5" s="3104"/>
      <c r="Y5" s="579"/>
      <c r="Z5" s="567"/>
      <c r="AA5" s="579"/>
      <c r="AB5" s="567"/>
      <c r="AC5" s="567"/>
      <c r="AD5" s="567"/>
      <c r="AE5" s="580" t="s">
        <v>2580</v>
      </c>
      <c r="AF5" s="581"/>
      <c r="AG5" s="580" t="s">
        <v>2581</v>
      </c>
      <c r="AI5" s="2330" t="s">
        <v>2943</v>
      </c>
      <c r="AJ5" s="576"/>
      <c r="AK5" s="576"/>
      <c r="AL5" s="576"/>
      <c r="AM5" s="576"/>
      <c r="AN5" s="2331" t="s">
        <v>3491</v>
      </c>
      <c r="AO5" s="2331"/>
      <c r="AP5" s="576"/>
      <c r="AQ5" s="576"/>
      <c r="AR5" s="576"/>
      <c r="AS5" s="577"/>
      <c r="AT5" s="577"/>
      <c r="AU5" s="578"/>
      <c r="AZ5" s="567"/>
      <c r="BA5" s="567"/>
      <c r="BB5" s="567"/>
      <c r="BC5" s="567"/>
      <c r="BD5" s="567"/>
      <c r="BE5" s="567"/>
      <c r="BF5" s="567"/>
      <c r="BG5" s="567"/>
      <c r="BH5" s="567"/>
      <c r="BI5" s="567"/>
    </row>
    <row r="6" spans="2:61" ht="12.75" customHeight="1" thickBot="1">
      <c r="B6" s="582"/>
      <c r="C6" s="583"/>
      <c r="D6" s="584"/>
      <c r="E6" s="585"/>
      <c r="F6" s="586"/>
      <c r="G6" s="3110" t="s">
        <v>3213</v>
      </c>
      <c r="H6" s="3111"/>
      <c r="I6" s="587"/>
      <c r="J6" s="588"/>
      <c r="K6" s="588"/>
      <c r="L6" s="588"/>
      <c r="M6" s="588"/>
      <c r="N6" s="589" t="s">
        <v>2580</v>
      </c>
      <c r="O6" s="589"/>
      <c r="P6" s="590"/>
      <c r="Q6" s="589" t="s">
        <v>2581</v>
      </c>
      <c r="R6" s="589"/>
      <c r="S6" s="591"/>
      <c r="T6" s="592"/>
      <c r="U6" s="567"/>
      <c r="V6" s="3105"/>
      <c r="W6" s="3106"/>
      <c r="Y6" s="593" t="s">
        <v>2582</v>
      </c>
      <c r="Z6" s="594"/>
      <c r="AA6" s="595" t="s">
        <v>2583</v>
      </c>
      <c r="AB6" s="594"/>
      <c r="AC6" s="594"/>
      <c r="AD6" s="567"/>
      <c r="AE6" s="596" t="e">
        <f>重み!D7</f>
        <v>#DIV/0!</v>
      </c>
      <c r="AF6" s="581"/>
      <c r="AG6" s="596" t="e">
        <f>重み!E7</f>
        <v>#DIV/0!</v>
      </c>
      <c r="AI6" s="2379" t="s">
        <v>2944</v>
      </c>
      <c r="AJ6" s="2379" t="s">
        <v>2945</v>
      </c>
      <c r="AK6" s="2379" t="s">
        <v>2946</v>
      </c>
      <c r="AL6" s="2379" t="s">
        <v>2947</v>
      </c>
      <c r="AM6" s="2379" t="s">
        <v>2948</v>
      </c>
      <c r="AN6" s="2379" t="s">
        <v>2949</v>
      </c>
      <c r="AO6" s="2381" t="s">
        <v>2954</v>
      </c>
      <c r="AP6" s="2379" t="s">
        <v>2950</v>
      </c>
      <c r="AQ6" s="2379" t="s">
        <v>333</v>
      </c>
      <c r="AR6" s="2380" t="s">
        <v>2951</v>
      </c>
      <c r="AS6" s="2343" t="s">
        <v>2580</v>
      </c>
      <c r="AT6" s="2344"/>
      <c r="AU6" s="592"/>
      <c r="AW6" s="2215" t="s">
        <v>2952</v>
      </c>
      <c r="AZ6" s="2338" t="str">
        <f t="shared" ref="AZ6:BI6" si="0">AI6</f>
        <v>事務所</v>
      </c>
      <c r="BA6" s="2338" t="str">
        <f t="shared" si="0"/>
        <v>学校</v>
      </c>
      <c r="BB6" s="2338" t="str">
        <f t="shared" si="0"/>
        <v>物販店</v>
      </c>
      <c r="BC6" s="2338" t="str">
        <f t="shared" si="0"/>
        <v>飲食店</v>
      </c>
      <c r="BD6" s="2338" t="str">
        <f t="shared" si="0"/>
        <v>集会所</v>
      </c>
      <c r="BE6" s="2338" t="str">
        <f t="shared" si="0"/>
        <v>工場</v>
      </c>
      <c r="BF6" s="2338" t="str">
        <f t="shared" si="0"/>
        <v>学校
(小中高)</v>
      </c>
      <c r="BG6" s="2338" t="str">
        <f t="shared" si="0"/>
        <v>病院</v>
      </c>
      <c r="BH6" s="2338" t="str">
        <f t="shared" si="0"/>
        <v>ホテル</v>
      </c>
      <c r="BI6" s="2338" t="str">
        <f t="shared" si="0"/>
        <v>集合住宅</v>
      </c>
    </row>
    <row r="7" spans="2:61" ht="23.25" customHeight="1" thickBot="1">
      <c r="B7" s="2365" t="s">
        <v>1924</v>
      </c>
      <c r="C7" s="2366"/>
      <c r="D7" s="2367"/>
      <c r="E7" s="2368"/>
      <c r="F7" s="2369"/>
      <c r="G7" s="2588" t="s">
        <v>2054</v>
      </c>
      <c r="H7" s="2588" t="s">
        <v>3214</v>
      </c>
      <c r="I7" s="597" t="s">
        <v>1925</v>
      </c>
      <c r="J7" s="598"/>
      <c r="K7" s="598"/>
      <c r="L7" s="598"/>
      <c r="M7" s="599"/>
      <c r="N7" s="2945" t="s">
        <v>2145</v>
      </c>
      <c r="O7" s="600" t="s">
        <v>2145</v>
      </c>
      <c r="P7" s="601" t="s">
        <v>2146</v>
      </c>
      <c r="Q7" s="2946" t="s">
        <v>2145</v>
      </c>
      <c r="R7" s="602" t="s">
        <v>2145</v>
      </c>
      <c r="S7" s="603" t="s">
        <v>2146</v>
      </c>
      <c r="T7" s="604" t="s">
        <v>1926</v>
      </c>
      <c r="U7" s="567"/>
      <c r="V7" s="2983" t="s">
        <v>3489</v>
      </c>
      <c r="W7" s="2983" t="s">
        <v>3490</v>
      </c>
      <c r="Y7" s="605" t="s">
        <v>2913</v>
      </c>
      <c r="Z7" s="606" t="s">
        <v>2146</v>
      </c>
      <c r="AA7" s="605" t="s">
        <v>2913</v>
      </c>
      <c r="AB7" s="606" t="s">
        <v>2146</v>
      </c>
      <c r="AC7" s="607" t="s">
        <v>2147</v>
      </c>
      <c r="AD7" s="567"/>
      <c r="AE7" s="596" t="s">
        <v>1927</v>
      </c>
      <c r="AF7" s="581"/>
      <c r="AG7" s="596" t="s">
        <v>1927</v>
      </c>
      <c r="AI7" s="2332" t="e">
        <f>AZ7</f>
        <v>#DIV/0!</v>
      </c>
      <c r="AJ7" s="2332" t="e">
        <f t="shared" ref="AJ7:AR7" si="1">BA7</f>
        <v>#DIV/0!</v>
      </c>
      <c r="AK7" s="2332" t="e">
        <f t="shared" si="1"/>
        <v>#DIV/0!</v>
      </c>
      <c r="AL7" s="2332" t="e">
        <f t="shared" si="1"/>
        <v>#DIV/0!</v>
      </c>
      <c r="AM7" s="2332" t="e">
        <f t="shared" si="1"/>
        <v>#DIV/0!</v>
      </c>
      <c r="AN7" s="2332" t="e">
        <f t="shared" si="1"/>
        <v>#DIV/0!</v>
      </c>
      <c r="AO7" s="2332" t="e">
        <f t="shared" si="1"/>
        <v>#DIV/0!</v>
      </c>
      <c r="AP7" s="2332" t="e">
        <f t="shared" si="1"/>
        <v>#DIV/0!</v>
      </c>
      <c r="AQ7" s="2332" t="e">
        <f t="shared" si="1"/>
        <v>#DIV/0!</v>
      </c>
      <c r="AR7" s="2340" t="e">
        <f t="shared" si="1"/>
        <v>#DIV/0!</v>
      </c>
      <c r="AS7" s="2345" t="s">
        <v>2145</v>
      </c>
      <c r="AT7" s="2346" t="s">
        <v>2146</v>
      </c>
      <c r="AU7" s="2333" t="s">
        <v>1926</v>
      </c>
      <c r="AW7" s="2140" t="s">
        <v>2953</v>
      </c>
      <c r="AZ7" s="2338" t="e">
        <f>AZ3</f>
        <v>#DIV/0!</v>
      </c>
      <c r="BA7" s="2338" t="e">
        <f>BA3</f>
        <v>#DIV/0!</v>
      </c>
      <c r="BB7" s="2338" t="e">
        <f>BB3</f>
        <v>#DIV/0!</v>
      </c>
      <c r="BC7" s="2338" t="e">
        <f>BC3</f>
        <v>#DIV/0!</v>
      </c>
      <c r="BD7" s="2338" t="e">
        <f>BG3</f>
        <v>#DIV/0!</v>
      </c>
      <c r="BE7" s="2338" t="e">
        <f>BH3</f>
        <v>#DIV/0!</v>
      </c>
      <c r="BF7" s="2338" t="e">
        <f>BI3</f>
        <v>#DIV/0!</v>
      </c>
      <c r="BG7" s="2338" t="e">
        <f>BD3</f>
        <v>#DIV/0!</v>
      </c>
      <c r="BH7" s="2338" t="e">
        <f>BE3</f>
        <v>#DIV/0!</v>
      </c>
      <c r="BI7" s="2338" t="e">
        <f>BF3</f>
        <v>#DIV/0!</v>
      </c>
    </row>
    <row r="8" spans="2:61" ht="14.25" customHeight="1" thickBot="1">
      <c r="B8" s="2370" t="s">
        <v>1928</v>
      </c>
      <c r="C8" s="2371"/>
      <c r="D8" s="2372"/>
      <c r="E8" s="2373"/>
      <c r="F8" s="2374"/>
      <c r="G8" s="2590"/>
      <c r="H8" s="2590"/>
      <c r="I8" s="608"/>
      <c r="J8" s="609"/>
      <c r="K8" s="609"/>
      <c r="L8" s="609"/>
      <c r="M8" s="610"/>
      <c r="N8" s="611"/>
      <c r="O8" s="611"/>
      <c r="P8" s="612"/>
      <c r="Q8" s="613"/>
      <c r="R8" s="613"/>
      <c r="S8" s="614"/>
      <c r="T8" s="615" t="e">
        <f>ROUNDDOWN(AC8,1)</f>
        <v>#DIV/0!</v>
      </c>
      <c r="U8" s="567"/>
      <c r="V8" s="2982"/>
      <c r="W8" s="2982"/>
      <c r="Y8" s="616"/>
      <c r="Z8" s="617"/>
      <c r="AA8" s="616"/>
      <c r="AB8" s="617"/>
      <c r="AC8" s="3017" t="e">
        <f>Z9*AC9+Z62*AC62+Z112*AC112</f>
        <v>#DIV/0!</v>
      </c>
      <c r="AD8" s="567"/>
      <c r="AE8" s="596">
        <f>重み!M8</f>
        <v>0</v>
      </c>
      <c r="AF8" s="581"/>
      <c r="AG8" s="596">
        <f>重み!N8</f>
        <v>0</v>
      </c>
      <c r="AI8" s="2334"/>
      <c r="AJ8" s="2334"/>
      <c r="AK8" s="2334"/>
      <c r="AL8" s="2334"/>
      <c r="AM8" s="2334"/>
      <c r="AN8" s="2334"/>
      <c r="AO8" s="2334"/>
      <c r="AP8" s="2334"/>
      <c r="AQ8" s="2334"/>
      <c r="AR8" s="2341"/>
      <c r="AS8" s="2347"/>
      <c r="AT8" s="2348"/>
      <c r="AU8" s="2335" t="e">
        <f>ROUNDDOWN(AW8,1)</f>
        <v>#DIV/0!</v>
      </c>
      <c r="AW8" s="1" t="e">
        <f>AT9*AW9+AT62*AW62+AT112*AW112</f>
        <v>#DIV/0!</v>
      </c>
    </row>
    <row r="9" spans="2:61" ht="14.25" customHeight="1" thickBot="1">
      <c r="B9" s="618" t="s">
        <v>1929</v>
      </c>
      <c r="C9" s="619" t="s">
        <v>2148</v>
      </c>
      <c r="D9" s="619"/>
      <c r="E9" s="619"/>
      <c r="F9" s="620"/>
      <c r="G9" s="2552"/>
      <c r="H9" s="2552"/>
      <c r="I9" s="621"/>
      <c r="J9" s="622"/>
      <c r="K9" s="622"/>
      <c r="L9" s="622"/>
      <c r="M9" s="623"/>
      <c r="N9" s="624"/>
      <c r="O9" s="624"/>
      <c r="P9" s="625" t="e">
        <f t="shared" ref="P9:P44" si="2">Z9</f>
        <v>#DIV/0!</v>
      </c>
      <c r="Q9" s="626"/>
      <c r="R9" s="626"/>
      <c r="S9" s="625">
        <f>AB9</f>
        <v>0</v>
      </c>
      <c r="T9" s="628" t="e">
        <f>ROUNDDOWN(AC9,1)</f>
        <v>#DIV/0!</v>
      </c>
      <c r="U9" s="567"/>
      <c r="V9" s="2982"/>
      <c r="W9" s="2982"/>
      <c r="Y9" s="616"/>
      <c r="Z9" s="629" t="e">
        <f>重み!D9</f>
        <v>#DIV/0!</v>
      </c>
      <c r="AA9" s="616"/>
      <c r="AB9" s="629"/>
      <c r="AC9" s="3017" t="e">
        <f>AC10*Z10+AC20*Z20+AC35*Z35+AC48*Z48</f>
        <v>#DIV/0!</v>
      </c>
      <c r="AD9" s="567"/>
      <c r="AE9" s="630" t="e">
        <f>重み!M9</f>
        <v>#DIV/0!</v>
      </c>
      <c r="AF9" s="581"/>
      <c r="AG9" s="596" t="e">
        <f>重み!N9</f>
        <v>#DIV/0!</v>
      </c>
      <c r="AI9" s="2336"/>
      <c r="AJ9" s="2336"/>
      <c r="AK9" s="2336"/>
      <c r="AL9" s="2336"/>
      <c r="AM9" s="2336"/>
      <c r="AN9" s="2336"/>
      <c r="AO9" s="2336"/>
      <c r="AP9" s="2336"/>
      <c r="AQ9" s="2336"/>
      <c r="AR9" s="2342"/>
      <c r="AS9" s="2349"/>
      <c r="AT9" s="2350" t="e">
        <f>P9</f>
        <v>#DIV/0!</v>
      </c>
      <c r="AU9" s="628" t="e">
        <f>ROUNDDOWN(AW9,1)</f>
        <v>#DIV/0!</v>
      </c>
      <c r="AW9" s="2354" t="e">
        <f>SUMPRODUCT(AT10:AT61,AW10:AW61)</f>
        <v>#DIV/0!</v>
      </c>
    </row>
    <row r="10" spans="2:61" ht="14.25" customHeight="1" thickBot="1">
      <c r="B10" s="631">
        <v>1</v>
      </c>
      <c r="C10" s="632" t="s">
        <v>2149</v>
      </c>
      <c r="D10" s="633"/>
      <c r="E10" s="634"/>
      <c r="F10" s="635"/>
      <c r="G10" s="2587"/>
      <c r="H10" s="2587"/>
      <c r="I10" s="636"/>
      <c r="J10" s="637"/>
      <c r="K10" s="637"/>
      <c r="L10" s="637"/>
      <c r="M10" s="638"/>
      <c r="N10" s="2851" t="e">
        <f>ROUNDDOWN(Y10,1)</f>
        <v>#DIV/0!</v>
      </c>
      <c r="O10" s="2851" t="e">
        <f>ROUNDDOWN(Y10,1)</f>
        <v>#DIV/0!</v>
      </c>
      <c r="P10" s="640" t="e">
        <f>Z10</f>
        <v>#DIV/0!</v>
      </c>
      <c r="Q10" s="2851" t="e">
        <f>ROUNDDOWN(AA10,1)</f>
        <v>#DIV/0!</v>
      </c>
      <c r="R10" s="2851" t="e">
        <f>ROUNDDOWN(AA10,1)</f>
        <v>#DIV/0!</v>
      </c>
      <c r="S10" s="641" t="e">
        <f t="shared" ref="S10:S44" si="3">AB10</f>
        <v>#DIV/0!</v>
      </c>
      <c r="T10" s="642" t="e">
        <f>ROUNDDOWN(AC10,1)</f>
        <v>#DIV/0!</v>
      </c>
      <c r="U10" s="567"/>
      <c r="V10" s="2984"/>
      <c r="W10" s="2984"/>
      <c r="Y10" s="2978" t="e">
        <f>Y11*Z11+Y14*Z14+Y19*Z19</f>
        <v>#DIV/0!</v>
      </c>
      <c r="Z10" s="2611" t="e">
        <f>重み!D10</f>
        <v>#DIV/0!</v>
      </c>
      <c r="AA10" s="2978" t="e">
        <f>AA11*AB11+AA14*AB14+AA19*AB19</f>
        <v>#DIV/0!</v>
      </c>
      <c r="AB10" s="644" t="e">
        <f>SUM(AB11,AB14,AB19)</f>
        <v>#DIV/0!</v>
      </c>
      <c r="AC10" s="617" t="e">
        <f>IF(AA10=0,Y10,IF(Y10=0,AA10,Y10*AE$6+AA10*AG$6))</f>
        <v>#DIV/0!</v>
      </c>
      <c r="AD10" s="567"/>
      <c r="AE10" s="596" t="e">
        <f>重み!M10</f>
        <v>#DIV/0!</v>
      </c>
      <c r="AF10" s="581"/>
      <c r="AG10" s="644" t="e">
        <f>SUM(AG11,AG14,AG19)</f>
        <v>#DIV/0!</v>
      </c>
      <c r="AI10" s="2356">
        <v>3</v>
      </c>
      <c r="AJ10" s="2356"/>
      <c r="AK10" s="2356"/>
      <c r="AL10" s="2356"/>
      <c r="AM10" s="2356"/>
      <c r="AN10" s="2356">
        <v>0</v>
      </c>
      <c r="AO10" s="2356"/>
      <c r="AP10" s="2356"/>
      <c r="AQ10" s="2356"/>
      <c r="AR10" s="2357"/>
      <c r="AS10" s="2351" t="e">
        <f>ROUNDDOWN(AW10,1)</f>
        <v>#DIV/0!</v>
      </c>
      <c r="AT10" s="2352" t="e">
        <f>P10</f>
        <v>#DIV/0!</v>
      </c>
      <c r="AU10" s="2337"/>
      <c r="AW10" s="2354" t="e">
        <f>IF(AY10=0,0,SUMPRODUCT($AZ$7:$BI$7,AI10:AR10)/AY10)</f>
        <v>#DIV/0!</v>
      </c>
      <c r="AY10" s="2353" t="e">
        <f>SUMPRODUCT($AZ$7:$BI$7,AZ10:BI10)</f>
        <v>#DIV/0!</v>
      </c>
      <c r="AZ10" s="2339">
        <f t="shared" ref="AZ10:BI10" si="4">IF(AI10&gt;0,1,0)</f>
        <v>1</v>
      </c>
      <c r="BA10" s="2339">
        <f t="shared" si="4"/>
        <v>0</v>
      </c>
      <c r="BB10" s="2339">
        <f t="shared" si="4"/>
        <v>0</v>
      </c>
      <c r="BC10" s="2339">
        <f t="shared" si="4"/>
        <v>0</v>
      </c>
      <c r="BD10" s="2339">
        <f t="shared" si="4"/>
        <v>0</v>
      </c>
      <c r="BE10" s="2339">
        <f t="shared" si="4"/>
        <v>0</v>
      </c>
      <c r="BF10" s="2339">
        <f t="shared" si="4"/>
        <v>0</v>
      </c>
      <c r="BG10" s="2339">
        <f t="shared" si="4"/>
        <v>0</v>
      </c>
      <c r="BH10" s="2339">
        <f t="shared" si="4"/>
        <v>0</v>
      </c>
      <c r="BI10" s="2339">
        <f t="shared" si="4"/>
        <v>0</v>
      </c>
    </row>
    <row r="11" spans="2:61" ht="14.25" customHeight="1" thickBot="1">
      <c r="B11" s="645"/>
      <c r="C11" s="646">
        <v>1.1000000000000001</v>
      </c>
      <c r="D11" s="647" t="s">
        <v>3425</v>
      </c>
      <c r="E11" s="648"/>
      <c r="F11" s="649"/>
      <c r="G11" s="2597"/>
      <c r="H11" s="2597"/>
      <c r="I11" s="3107"/>
      <c r="J11" s="3108"/>
      <c r="K11" s="3108"/>
      <c r="L11" s="3108"/>
      <c r="M11" s="3109"/>
      <c r="N11" s="2902">
        <v>3</v>
      </c>
      <c r="O11" s="752">
        <f t="shared" ref="O11:O74" si="5">ROUNDDOWN(Y11,1)</f>
        <v>3</v>
      </c>
      <c r="P11" s="653" t="e">
        <f t="shared" si="2"/>
        <v>#DIV/0!</v>
      </c>
      <c r="Q11" s="2902"/>
      <c r="R11" s="752">
        <f t="shared" ref="R11:R74" si="6">ROUNDDOWN(AA11,1)</f>
        <v>3</v>
      </c>
      <c r="S11" s="653" t="e">
        <f t="shared" si="3"/>
        <v>#DIV/0!</v>
      </c>
      <c r="T11" s="654"/>
      <c r="U11" s="567"/>
      <c r="V11" s="2613">
        <f>IF(採点Q1!F8="対象外",0,採点Q1!F8)</f>
        <v>3</v>
      </c>
      <c r="W11" s="2614">
        <f>IF(採点Q1!L8="対象外",0,採点Q1!L8)</f>
        <v>3</v>
      </c>
      <c r="Y11" s="2975">
        <f>IF($Y$3=4,N11,V11)</f>
        <v>3</v>
      </c>
      <c r="Z11" s="2611" t="e">
        <f>重み!D11</f>
        <v>#DIV/0!</v>
      </c>
      <c r="AA11" s="2975">
        <f>IF($Y$3=4,Q11,W11)</f>
        <v>3</v>
      </c>
      <c r="AB11" s="2611" t="e">
        <f>重み!E11</f>
        <v>#DIV/0!</v>
      </c>
      <c r="AC11" s="617"/>
      <c r="AD11" s="567"/>
      <c r="AE11" s="596" t="e">
        <f>重み!M11</f>
        <v>#DIV/0!</v>
      </c>
      <c r="AF11" s="581"/>
      <c r="AG11" s="596" t="e">
        <f>重み!N11</f>
        <v>#DIV/0!</v>
      </c>
      <c r="AW11"/>
      <c r="AX11"/>
      <c r="AY11"/>
    </row>
    <row r="12" spans="2:61" ht="14.25" hidden="1" customHeight="1">
      <c r="B12" s="2821"/>
      <c r="C12" s="2822"/>
      <c r="D12" s="2824">
        <v>1</v>
      </c>
      <c r="E12" s="2825" t="s">
        <v>2150</v>
      </c>
      <c r="F12" s="2823"/>
      <c r="G12" s="2586"/>
      <c r="H12" s="2586"/>
      <c r="I12" s="3096"/>
      <c r="J12" s="3097"/>
      <c r="K12" s="3097"/>
      <c r="L12" s="3097"/>
      <c r="M12" s="3098"/>
      <c r="N12" s="2618">
        <v>0</v>
      </c>
      <c r="O12" s="2618">
        <f t="shared" si="5"/>
        <v>0</v>
      </c>
      <c r="P12" s="659" t="e">
        <f t="shared" si="2"/>
        <v>#DIV/0!</v>
      </c>
      <c r="Q12" s="2618"/>
      <c r="R12" s="2618">
        <f t="shared" si="6"/>
        <v>0</v>
      </c>
      <c r="S12" s="659" t="e">
        <f t="shared" si="3"/>
        <v>#DIV/0!</v>
      </c>
      <c r="T12" s="642"/>
      <c r="U12" s="567"/>
      <c r="Y12" s="2654"/>
      <c r="Z12" s="2611" t="e">
        <f>重み!D12</f>
        <v>#DIV/0!</v>
      </c>
      <c r="AA12" s="2654"/>
      <c r="AB12" s="2611" t="e">
        <f>重み!E12</f>
        <v>#DIV/0!</v>
      </c>
      <c r="AC12" s="617"/>
      <c r="AD12" s="567"/>
      <c r="AE12" s="596" t="e">
        <f>重み!M12</f>
        <v>#DIV/0!</v>
      </c>
      <c r="AF12" s="581"/>
      <c r="AG12" s="596" t="e">
        <f>重み!N12</f>
        <v>#DIV/0!</v>
      </c>
      <c r="AW12"/>
      <c r="AX12"/>
      <c r="AY12"/>
    </row>
    <row r="13" spans="2:61" s="2624" customFormat="1" ht="14.25" hidden="1" customHeight="1" thickBot="1">
      <c r="B13" s="2648"/>
      <c r="C13" s="2649"/>
      <c r="D13" s="2672">
        <v>2</v>
      </c>
      <c r="E13" s="2673" t="s">
        <v>2151</v>
      </c>
      <c r="F13" s="2651"/>
      <c r="G13" s="2575"/>
      <c r="H13" s="2575"/>
      <c r="I13" s="3096"/>
      <c r="J13" s="3097"/>
      <c r="K13" s="3097"/>
      <c r="L13" s="3097"/>
      <c r="M13" s="3098"/>
      <c r="N13" s="2615">
        <v>0</v>
      </c>
      <c r="O13" s="2615">
        <f t="shared" si="5"/>
        <v>0</v>
      </c>
      <c r="P13" s="659" t="e">
        <f t="shared" si="2"/>
        <v>#DIV/0!</v>
      </c>
      <c r="Q13" s="2615"/>
      <c r="R13" s="2615">
        <f t="shared" si="6"/>
        <v>0</v>
      </c>
      <c r="S13" s="659" t="e">
        <f t="shared" ref="S13" si="7">AB13</f>
        <v>#DIV/0!</v>
      </c>
      <c r="T13" s="642"/>
      <c r="U13" s="2607"/>
      <c r="V13" s="2616" t="e">
        <f>IF(採点Q1!F33="対象外",0,採点Q1!F33)</f>
        <v>#DIV/0!</v>
      </c>
      <c r="W13" s="2617" t="e">
        <f>採点Q1!K33</f>
        <v>#DIV/0!</v>
      </c>
      <c r="Y13" s="2654"/>
      <c r="Z13" s="2611" t="e">
        <f>重み!D13</f>
        <v>#DIV/0!</v>
      </c>
      <c r="AA13" s="2654"/>
      <c r="AB13" s="2611" t="e">
        <f>重み!E13</f>
        <v>#DIV/0!</v>
      </c>
      <c r="AC13" s="2610"/>
      <c r="AD13" s="2607"/>
      <c r="AE13" s="2609" t="e">
        <f>重み!M13</f>
        <v>#DIV/0!</v>
      </c>
      <c r="AF13" s="2608"/>
      <c r="AG13" s="2609" t="e">
        <f>重み!N13</f>
        <v>#DIV/0!</v>
      </c>
    </row>
    <row r="14" spans="2:61" ht="14.25" customHeight="1" thickBot="1">
      <c r="B14" s="645"/>
      <c r="C14" s="646">
        <v>1.2</v>
      </c>
      <c r="D14" s="648" t="s">
        <v>2152</v>
      </c>
      <c r="E14" s="665"/>
      <c r="F14" s="666"/>
      <c r="G14" s="2586"/>
      <c r="H14" s="2586"/>
      <c r="I14" s="636"/>
      <c r="J14" s="637"/>
      <c r="K14" s="637"/>
      <c r="L14" s="637"/>
      <c r="M14" s="638"/>
      <c r="N14" s="3015" t="e">
        <f>ROUNDDOWN(Y14,1)</f>
        <v>#DIV/0!</v>
      </c>
      <c r="O14" s="2230" t="e">
        <f t="shared" si="5"/>
        <v>#DIV/0!</v>
      </c>
      <c r="P14" s="659" t="e">
        <f t="shared" si="2"/>
        <v>#DIV/0!</v>
      </c>
      <c r="Q14" s="652"/>
      <c r="R14" s="2230" t="e">
        <f t="shared" si="6"/>
        <v>#DIV/0!</v>
      </c>
      <c r="S14" s="659" t="e">
        <f t="shared" si="3"/>
        <v>#DIV/0!</v>
      </c>
      <c r="T14" s="642"/>
      <c r="U14" s="567"/>
      <c r="V14" s="2985"/>
      <c r="W14" s="2985"/>
      <c r="Y14" s="643" t="e">
        <f>SUMPRODUCT(Y15:Y18,Z15:Z18)</f>
        <v>#DIV/0!</v>
      </c>
      <c r="Z14" s="2611" t="e">
        <f>重み!D14</f>
        <v>#DIV/0!</v>
      </c>
      <c r="AA14" s="643" t="e">
        <f>SUMPRODUCT(AA15:AA18,AB15:AB18)</f>
        <v>#DIV/0!</v>
      </c>
      <c r="AB14" s="2611" t="e">
        <f>重み!E14</f>
        <v>#DIV/0!</v>
      </c>
      <c r="AC14" s="617"/>
      <c r="AD14" s="567"/>
      <c r="AE14" s="596" t="e">
        <f>重み!M14</f>
        <v>#DIV/0!</v>
      </c>
      <c r="AF14" s="581"/>
      <c r="AG14" s="596" t="e">
        <f>重み!N14</f>
        <v>#DIV/0!</v>
      </c>
      <c r="AW14"/>
      <c r="AX14"/>
      <c r="AY14"/>
    </row>
    <row r="15" spans="2:61" ht="14.25" customHeight="1">
      <c r="B15" s="645"/>
      <c r="C15" s="664"/>
      <c r="D15" s="656">
        <v>1</v>
      </c>
      <c r="E15" s="662" t="s">
        <v>736</v>
      </c>
      <c r="F15" s="649"/>
      <c r="G15" s="2586"/>
      <c r="H15" s="2586"/>
      <c r="I15" s="3096"/>
      <c r="J15" s="3097"/>
      <c r="K15" s="3097"/>
      <c r="L15" s="3097"/>
      <c r="M15" s="3098"/>
      <c r="N15" s="2948">
        <v>0</v>
      </c>
      <c r="O15" s="658">
        <f t="shared" si="5"/>
        <v>3</v>
      </c>
      <c r="P15" s="659" t="e">
        <f t="shared" si="2"/>
        <v>#DIV/0!</v>
      </c>
      <c r="Q15" s="2948"/>
      <c r="R15" s="658">
        <f t="shared" si="6"/>
        <v>3</v>
      </c>
      <c r="S15" s="659" t="e">
        <f t="shared" si="3"/>
        <v>#DIV/0!</v>
      </c>
      <c r="T15" s="642"/>
      <c r="U15" s="567"/>
      <c r="V15" s="2613">
        <f>IF(採点Q1!F68="対象外",0,採点Q1!F68)</f>
        <v>3</v>
      </c>
      <c r="W15" s="2614">
        <f>採点Q1!K68</f>
        <v>3</v>
      </c>
      <c r="Y15" s="660">
        <f t="shared" ref="Y15:Y19" si="8">IF($Y$3=4,N15,V15)</f>
        <v>3</v>
      </c>
      <c r="Z15" s="2611" t="e">
        <f>重み!D15</f>
        <v>#DIV/0!</v>
      </c>
      <c r="AA15" s="660">
        <f t="shared" ref="AA15:AA19" si="9">IF($Y$3=4,Q15,W15)</f>
        <v>3</v>
      </c>
      <c r="AB15" s="2611" t="e">
        <f>重み!E15</f>
        <v>#DIV/0!</v>
      </c>
      <c r="AC15" s="2610"/>
      <c r="AD15" s="567"/>
      <c r="AE15" s="596" t="e">
        <f>重み!M15</f>
        <v>#DIV/0!</v>
      </c>
      <c r="AF15" s="581"/>
      <c r="AG15" s="596" t="e">
        <f>重み!N15</f>
        <v>#DIV/0!</v>
      </c>
      <c r="AW15"/>
      <c r="AX15"/>
      <c r="AY15"/>
    </row>
    <row r="16" spans="2:61" ht="14.25" customHeight="1">
      <c r="B16" s="645"/>
      <c r="C16" s="655"/>
      <c r="D16" s="656">
        <v>2</v>
      </c>
      <c r="E16" s="662" t="s">
        <v>737</v>
      </c>
      <c r="F16" s="649"/>
      <c r="G16" s="2586"/>
      <c r="H16" s="2586"/>
      <c r="I16" s="3096"/>
      <c r="J16" s="3097"/>
      <c r="K16" s="3097"/>
      <c r="L16" s="3097"/>
      <c r="M16" s="3098"/>
      <c r="N16" s="2949">
        <v>0</v>
      </c>
      <c r="O16" s="667">
        <f t="shared" si="5"/>
        <v>3</v>
      </c>
      <c r="P16" s="659" t="e">
        <f t="shared" si="2"/>
        <v>#DIV/0!</v>
      </c>
      <c r="Q16" s="2949"/>
      <c r="R16" s="667">
        <f t="shared" si="6"/>
        <v>3</v>
      </c>
      <c r="S16" s="659" t="e">
        <f t="shared" si="3"/>
        <v>#DIV/0!</v>
      </c>
      <c r="T16" s="642"/>
      <c r="U16" s="567"/>
      <c r="V16" s="2619">
        <f>IF(採点Q1!F84="対象外",0,採点Q1!F84)</f>
        <v>3</v>
      </c>
      <c r="W16" s="2620">
        <f>採点Q1!K84</f>
        <v>3</v>
      </c>
      <c r="Y16" s="660">
        <f t="shared" si="8"/>
        <v>3</v>
      </c>
      <c r="Z16" s="2611" t="e">
        <f>重み!D16</f>
        <v>#DIV/0!</v>
      </c>
      <c r="AA16" s="660">
        <f t="shared" si="9"/>
        <v>3</v>
      </c>
      <c r="AB16" s="2611" t="e">
        <f>重み!E16</f>
        <v>#DIV/0!</v>
      </c>
      <c r="AC16" s="2610"/>
      <c r="AD16" s="567"/>
      <c r="AE16" s="596" t="e">
        <f>重み!M16</f>
        <v>#DIV/0!</v>
      </c>
      <c r="AF16" s="581"/>
      <c r="AG16" s="596" t="e">
        <f>重み!N16</f>
        <v>#DIV/0!</v>
      </c>
      <c r="AW16"/>
      <c r="AX16"/>
      <c r="AY16"/>
    </row>
    <row r="17" spans="2:61" ht="14.25" customHeight="1">
      <c r="B17" s="645"/>
      <c r="C17" s="655"/>
      <c r="D17" s="656">
        <v>3</v>
      </c>
      <c r="E17" s="662" t="s">
        <v>738</v>
      </c>
      <c r="F17" s="649"/>
      <c r="G17" s="2586"/>
      <c r="H17" s="2586"/>
      <c r="I17" s="3096"/>
      <c r="J17" s="3097"/>
      <c r="K17" s="3097"/>
      <c r="L17" s="3097"/>
      <c r="M17" s="3098"/>
      <c r="N17" s="2949">
        <v>0</v>
      </c>
      <c r="O17" s="667">
        <f t="shared" si="5"/>
        <v>3</v>
      </c>
      <c r="P17" s="659" t="e">
        <f t="shared" si="2"/>
        <v>#DIV/0!</v>
      </c>
      <c r="Q17" s="2949"/>
      <c r="R17" s="667">
        <f t="shared" si="6"/>
        <v>3</v>
      </c>
      <c r="S17" s="659" t="e">
        <f t="shared" si="3"/>
        <v>#DIV/0!</v>
      </c>
      <c r="T17" s="642"/>
      <c r="U17" s="567"/>
      <c r="V17" s="2619">
        <f>IF(採点Q1!F100="対象外",0,採点Q1!F100)</f>
        <v>3</v>
      </c>
      <c r="W17" s="2620">
        <f>採点Q1!K100</f>
        <v>3</v>
      </c>
      <c r="Y17" s="660">
        <f t="shared" si="8"/>
        <v>3</v>
      </c>
      <c r="Z17" s="2611" t="e">
        <f>重み!D17</f>
        <v>#DIV/0!</v>
      </c>
      <c r="AA17" s="660">
        <f t="shared" si="9"/>
        <v>3</v>
      </c>
      <c r="AB17" s="2611" t="e">
        <f>重み!E17</f>
        <v>#DIV/0!</v>
      </c>
      <c r="AC17" s="2610"/>
      <c r="AD17" s="567"/>
      <c r="AE17" s="596" t="e">
        <f>重み!M17</f>
        <v>#DIV/0!</v>
      </c>
      <c r="AF17" s="581"/>
      <c r="AG17" s="596" t="e">
        <f>重み!N17</f>
        <v>#DIV/0!</v>
      </c>
      <c r="AW17"/>
      <c r="AX17"/>
      <c r="AY17"/>
    </row>
    <row r="18" spans="2:61" ht="14.25" customHeight="1">
      <c r="B18" s="645"/>
      <c r="C18" s="661"/>
      <c r="D18" s="656">
        <v>4</v>
      </c>
      <c r="E18" s="662" t="s">
        <v>739</v>
      </c>
      <c r="F18" s="649"/>
      <c r="G18" s="2586"/>
      <c r="H18" s="2586"/>
      <c r="I18" s="3096"/>
      <c r="J18" s="3097"/>
      <c r="K18" s="3097"/>
      <c r="L18" s="3097"/>
      <c r="M18" s="3098"/>
      <c r="N18" s="2949">
        <v>0</v>
      </c>
      <c r="O18" s="667">
        <f t="shared" si="5"/>
        <v>3</v>
      </c>
      <c r="P18" s="659" t="e">
        <f t="shared" si="2"/>
        <v>#DIV/0!</v>
      </c>
      <c r="Q18" s="2949"/>
      <c r="R18" s="667">
        <f t="shared" si="6"/>
        <v>3</v>
      </c>
      <c r="S18" s="659" t="e">
        <f t="shared" si="3"/>
        <v>#DIV/0!</v>
      </c>
      <c r="T18" s="642"/>
      <c r="U18" s="567"/>
      <c r="V18" s="2619">
        <f>IF(採点Q1!F116="対象外",0,採点Q1!F116)</f>
        <v>3</v>
      </c>
      <c r="W18" s="2620">
        <f>採点Q1!K116</f>
        <v>3</v>
      </c>
      <c r="Y18" s="660">
        <f t="shared" si="8"/>
        <v>3</v>
      </c>
      <c r="Z18" s="2611" t="e">
        <f>重み!D18</f>
        <v>#DIV/0!</v>
      </c>
      <c r="AA18" s="660">
        <f t="shared" si="9"/>
        <v>3</v>
      </c>
      <c r="AB18" s="2611" t="e">
        <f>重み!E18</f>
        <v>#DIV/0!</v>
      </c>
      <c r="AC18" s="2610"/>
      <c r="AD18" s="567"/>
      <c r="AE18" s="596" t="e">
        <f>重み!M18</f>
        <v>#DIV/0!</v>
      </c>
      <c r="AF18" s="581"/>
      <c r="AG18" s="596" t="e">
        <f>重み!N18</f>
        <v>#DIV/0!</v>
      </c>
      <c r="AW18"/>
      <c r="AX18"/>
      <c r="AY18"/>
    </row>
    <row r="19" spans="2:61" ht="14.25" customHeight="1" thickBot="1">
      <c r="B19" s="668"/>
      <c r="C19" s="669">
        <v>1.3</v>
      </c>
      <c r="D19" s="648" t="s">
        <v>740</v>
      </c>
      <c r="E19" s="648"/>
      <c r="F19" s="649"/>
      <c r="G19" s="2597"/>
      <c r="H19" s="2597"/>
      <c r="I19" s="3096"/>
      <c r="J19" s="3097"/>
      <c r="K19" s="3097"/>
      <c r="L19" s="3097"/>
      <c r="M19" s="3098"/>
      <c r="N19" s="2950">
        <v>0</v>
      </c>
      <c r="O19" s="670">
        <f t="shared" si="5"/>
        <v>3</v>
      </c>
      <c r="P19" s="659" t="e">
        <f t="shared" si="2"/>
        <v>#DIV/0!</v>
      </c>
      <c r="Q19" s="2950"/>
      <c r="R19" s="670">
        <f t="shared" si="6"/>
        <v>3</v>
      </c>
      <c r="S19" s="659" t="e">
        <f t="shared" si="3"/>
        <v>#DIV/0!</v>
      </c>
      <c r="T19" s="642"/>
      <c r="U19" s="567"/>
      <c r="V19" s="2616">
        <f>IF(採点Q1!F132="対象外",0,採点Q1!F132)</f>
        <v>3</v>
      </c>
      <c r="W19" s="2617">
        <f>採点Q1!K132</f>
        <v>3</v>
      </c>
      <c r="Y19" s="2975">
        <f t="shared" si="8"/>
        <v>3</v>
      </c>
      <c r="Z19" s="2611" t="e">
        <f>重み!D19</f>
        <v>#DIV/0!</v>
      </c>
      <c r="AA19" s="2975">
        <f t="shared" si="9"/>
        <v>3</v>
      </c>
      <c r="AB19" s="2611" t="e">
        <f>重み!E19</f>
        <v>#DIV/0!</v>
      </c>
      <c r="AC19" s="2610"/>
      <c r="AD19" s="567"/>
      <c r="AE19" s="596" t="e">
        <f>重み!M19</f>
        <v>#DIV/0!</v>
      </c>
      <c r="AF19" s="581"/>
      <c r="AG19" s="596" t="e">
        <f>重み!N19</f>
        <v>#DIV/0!</v>
      </c>
      <c r="AW19"/>
      <c r="AX19"/>
      <c r="AY19"/>
    </row>
    <row r="20" spans="2:61" ht="14.25" customHeight="1">
      <c r="B20" s="726">
        <v>2</v>
      </c>
      <c r="C20" s="671" t="s">
        <v>741</v>
      </c>
      <c r="D20" s="740"/>
      <c r="E20" s="679"/>
      <c r="F20" s="680"/>
      <c r="G20" s="2585" t="s">
        <v>3215</v>
      </c>
      <c r="H20" s="2584"/>
      <c r="I20" s="673"/>
      <c r="J20" s="2895"/>
      <c r="K20" s="2895"/>
      <c r="L20" s="2895"/>
      <c r="M20" s="2222"/>
      <c r="N20" s="674" t="e">
        <f t="shared" ref="N20:N21" si="10">ROUNDDOWN(Y20,1)</f>
        <v>#DIV/0!</v>
      </c>
      <c r="O20" s="674" t="e">
        <f t="shared" si="5"/>
        <v>#DIV/0!</v>
      </c>
      <c r="P20" s="675" t="e">
        <f t="shared" si="2"/>
        <v>#DIV/0!</v>
      </c>
      <c r="Q20" s="639" t="e">
        <f t="shared" ref="Q20:Q21" si="11">ROUNDDOWN(AA20,1)</f>
        <v>#DIV/0!</v>
      </c>
      <c r="R20" s="639" t="e">
        <f t="shared" si="6"/>
        <v>#DIV/0!</v>
      </c>
      <c r="S20" s="676" t="e">
        <f t="shared" ref="S20:S21" si="12">AB20</f>
        <v>#DIV/0!</v>
      </c>
      <c r="T20" s="677" t="e">
        <f>ROUNDDOWN(AC20,1)</f>
        <v>#DIV/0!</v>
      </c>
      <c r="U20" s="567"/>
      <c r="V20" s="2986"/>
      <c r="W20" s="2986"/>
      <c r="Y20" s="2978" t="e">
        <f>Y21*Z21+Y30*Z30+Y31*Z31+Y32*Z32</f>
        <v>#DIV/0!</v>
      </c>
      <c r="Z20" s="2611" t="e">
        <f>重み!D20</f>
        <v>#DIV/0!</v>
      </c>
      <c r="AA20" s="2978" t="e">
        <f>AA21*AB21+AA30*AB30+AA31*AB31+AA32*AB32</f>
        <v>#DIV/0!</v>
      </c>
      <c r="AB20" s="644" t="e">
        <f>SUM(AB21,AB30,AB31,AB32)</f>
        <v>#DIV/0!</v>
      </c>
      <c r="AC20" s="617" t="e">
        <f>IF(AA20=0,Y20,IF(Y20=0,AA20,Y20*AE$6+AA20*AG$6))</f>
        <v>#DIV/0!</v>
      </c>
      <c r="AD20" s="567"/>
      <c r="AE20" s="596" t="e">
        <f>重み!M20</f>
        <v>#DIV/0!</v>
      </c>
      <c r="AF20" s="581"/>
      <c r="AG20" s="644" t="e">
        <f>SUM(AG21,AG30,AG31,AG32)</f>
        <v>#DIV/0!</v>
      </c>
      <c r="AI20" s="2358">
        <v>3</v>
      </c>
      <c r="AJ20" s="2358"/>
      <c r="AK20" s="2358"/>
      <c r="AL20" s="2358"/>
      <c r="AM20" s="2358"/>
      <c r="AN20" s="2358">
        <v>0</v>
      </c>
      <c r="AO20" s="2358"/>
      <c r="AP20" s="2358"/>
      <c r="AQ20" s="2358"/>
      <c r="AR20" s="2358"/>
      <c r="AS20" s="2355" t="e">
        <f t="shared" ref="AS20:AS48" si="13">ROUNDDOWN(AW20,1)</f>
        <v>#DIV/0!</v>
      </c>
      <c r="AT20" s="810" t="e">
        <f>P20</f>
        <v>#DIV/0!</v>
      </c>
      <c r="AU20" s="677"/>
      <c r="AW20" s="2354" t="e">
        <f>IF(AY20=0,0,SUMPRODUCT($AZ$7:$BI$7,AI20:AR20)/AY20)</f>
        <v>#DIV/0!</v>
      </c>
      <c r="AY20" s="2353" t="e">
        <f>SUMPRODUCT($AZ$7:$BI$7,AZ20:BI20)</f>
        <v>#DIV/0!</v>
      </c>
      <c r="AZ20" s="2339">
        <f t="shared" ref="AZ20:BI20" si="14">IF(AI20&gt;0,1,0)</f>
        <v>1</v>
      </c>
      <c r="BA20" s="2339">
        <f t="shared" si="14"/>
        <v>0</v>
      </c>
      <c r="BB20" s="2339">
        <f t="shared" si="14"/>
        <v>0</v>
      </c>
      <c r="BC20" s="2339">
        <f t="shared" si="14"/>
        <v>0</v>
      </c>
      <c r="BD20" s="2339">
        <f t="shared" si="14"/>
        <v>0</v>
      </c>
      <c r="BE20" s="2339">
        <f t="shared" si="14"/>
        <v>0</v>
      </c>
      <c r="BF20" s="2339">
        <f t="shared" si="14"/>
        <v>0</v>
      </c>
      <c r="BG20" s="2339">
        <f t="shared" si="14"/>
        <v>0</v>
      </c>
      <c r="BH20" s="2339">
        <f t="shared" si="14"/>
        <v>0</v>
      </c>
      <c r="BI20" s="2339">
        <f t="shared" si="14"/>
        <v>0</v>
      </c>
    </row>
    <row r="21" spans="2:61" ht="14.25" customHeight="1" thickBot="1">
      <c r="B21" s="645"/>
      <c r="C21" s="646">
        <v>2.1</v>
      </c>
      <c r="D21" s="678" t="s">
        <v>742</v>
      </c>
      <c r="E21" s="679"/>
      <c r="F21" s="680"/>
      <c r="G21" s="2597"/>
      <c r="H21" s="2597"/>
      <c r="I21" s="636"/>
      <c r="J21" s="637"/>
      <c r="K21" s="637"/>
      <c r="L21" s="637"/>
      <c r="M21" s="638"/>
      <c r="N21" s="652" t="e">
        <f t="shared" si="10"/>
        <v>#DIV/0!</v>
      </c>
      <c r="O21" s="652" t="e">
        <f t="shared" si="5"/>
        <v>#DIV/0!</v>
      </c>
      <c r="P21" s="681" t="e">
        <f t="shared" si="2"/>
        <v>#DIV/0!</v>
      </c>
      <c r="Q21" s="682" t="e">
        <f t="shared" si="11"/>
        <v>#DIV/0!</v>
      </c>
      <c r="R21" s="2956" t="e">
        <f t="shared" si="6"/>
        <v>#DIV/0!</v>
      </c>
      <c r="S21" s="683" t="e">
        <f t="shared" si="12"/>
        <v>#DIV/0!</v>
      </c>
      <c r="T21" s="654"/>
      <c r="U21" s="567"/>
      <c r="V21" s="2987"/>
      <c r="W21" s="2987"/>
      <c r="Y21" s="643" t="e">
        <f>SUMPRODUCT(Y22:Y29,Z22:Z29)</f>
        <v>#DIV/0!</v>
      </c>
      <c r="Z21" s="2611" t="e">
        <f>重み!D21</f>
        <v>#DIV/0!</v>
      </c>
      <c r="AA21" s="643" t="e">
        <f>SUMPRODUCT(AA22:AA29,AB22:AB29)</f>
        <v>#DIV/0!</v>
      </c>
      <c r="AB21" s="2611" t="e">
        <f>重み!E21</f>
        <v>#DIV/0!</v>
      </c>
      <c r="AC21" s="617"/>
      <c r="AD21" s="567"/>
      <c r="AE21" s="596" t="e">
        <f>重み!M21</f>
        <v>#DIV/0!</v>
      </c>
      <c r="AF21" s="581"/>
      <c r="AG21" s="596" t="e">
        <f>重み!N21</f>
        <v>#DIV/0!</v>
      </c>
      <c r="AW21"/>
      <c r="AX21"/>
      <c r="AY21"/>
    </row>
    <row r="22" spans="2:61" ht="14.25" customHeight="1">
      <c r="B22" s="645"/>
      <c r="C22" s="684"/>
      <c r="D22" s="656">
        <v>1</v>
      </c>
      <c r="E22" s="648" t="s">
        <v>920</v>
      </c>
      <c r="F22" s="685"/>
      <c r="G22" s="2583" t="s">
        <v>3216</v>
      </c>
      <c r="H22" s="2586"/>
      <c r="I22" s="3096"/>
      <c r="J22" s="3097"/>
      <c r="K22" s="3097"/>
      <c r="L22" s="3097"/>
      <c r="M22" s="3098"/>
      <c r="N22" s="2948">
        <v>3</v>
      </c>
      <c r="O22" s="658">
        <f t="shared" si="5"/>
        <v>3</v>
      </c>
      <c r="P22" s="659" t="e">
        <f t="shared" si="2"/>
        <v>#DIV/0!</v>
      </c>
      <c r="Q22" s="2948"/>
      <c r="R22" s="658">
        <f t="shared" si="6"/>
        <v>3</v>
      </c>
      <c r="S22" s="659" t="e">
        <f t="shared" si="3"/>
        <v>#DIV/0!</v>
      </c>
      <c r="T22" s="642"/>
      <c r="U22" s="567"/>
      <c r="V22" s="2613">
        <f>IF(採点Q1!F143="対象外",0,採点Q1!F143)</f>
        <v>3</v>
      </c>
      <c r="W22" s="2614">
        <f>採点Q1!M143</f>
        <v>3</v>
      </c>
      <c r="Y22" s="660">
        <f t="shared" ref="Y22:Y30" si="15">IF($Y$3=4,N22,V22)</f>
        <v>3</v>
      </c>
      <c r="Z22" s="2611" t="e">
        <f>重み!D22</f>
        <v>#DIV/0!</v>
      </c>
      <c r="AA22" s="660">
        <f t="shared" ref="AA22:AA30" si="16">IF($Y$3=4,Q22,W22)</f>
        <v>3</v>
      </c>
      <c r="AB22" s="2611" t="e">
        <f>重み!E22</f>
        <v>#DIV/0!</v>
      </c>
      <c r="AC22" s="2610"/>
      <c r="AD22" s="567"/>
      <c r="AE22" s="596" t="e">
        <f>重み!M22</f>
        <v>#DIV/0!</v>
      </c>
      <c r="AF22" s="581"/>
      <c r="AG22" s="596" t="e">
        <f>重み!N22</f>
        <v>#DIV/0!</v>
      </c>
      <c r="AW22"/>
      <c r="AX22"/>
      <c r="AY22"/>
    </row>
    <row r="23" spans="2:61" s="2624" customFormat="1" ht="14.25" hidden="1" customHeight="1">
      <c r="B23" s="2648"/>
      <c r="C23" s="2655"/>
      <c r="D23" s="2672">
        <v>2</v>
      </c>
      <c r="E23" s="2673" t="s">
        <v>2900</v>
      </c>
      <c r="F23" s="2651"/>
      <c r="G23" s="2656" t="s">
        <v>3217</v>
      </c>
      <c r="H23" s="2575" t="s">
        <v>3215</v>
      </c>
      <c r="I23" s="3096"/>
      <c r="J23" s="3097"/>
      <c r="K23" s="3097"/>
      <c r="L23" s="3097"/>
      <c r="M23" s="3098"/>
      <c r="N23" s="2949">
        <v>0</v>
      </c>
      <c r="O23" s="2618">
        <f t="shared" si="5"/>
        <v>0</v>
      </c>
      <c r="P23" s="2652" t="e">
        <f t="shared" si="2"/>
        <v>#DIV/0!</v>
      </c>
      <c r="Q23" s="2949"/>
      <c r="R23" s="2618">
        <f t="shared" si="6"/>
        <v>0</v>
      </c>
      <c r="S23" s="2652" t="e">
        <f t="shared" si="3"/>
        <v>#DIV/0!</v>
      </c>
      <c r="T23" s="2653"/>
      <c r="U23" s="2607"/>
      <c r="V23" s="2619">
        <f>IF(採点Q1!F159="対象外",0,採点Q1!F159)</f>
        <v>0</v>
      </c>
      <c r="W23" s="2620"/>
      <c r="Y23" s="1"/>
      <c r="Z23" s="2611" t="e">
        <f>重み!D23</f>
        <v>#DIV/0!</v>
      </c>
      <c r="AA23" s="1"/>
      <c r="AB23" s="2611" t="e">
        <f>重み!E23</f>
        <v>#DIV/0!</v>
      </c>
      <c r="AC23" s="2610"/>
      <c r="AD23" s="2607"/>
      <c r="AE23" s="2609" t="e">
        <f>重み!M23</f>
        <v>#DIV/0!</v>
      </c>
      <c r="AF23" s="2608"/>
      <c r="AG23" s="2609" t="e">
        <f>重み!N23</f>
        <v>#DIV/0!</v>
      </c>
    </row>
    <row r="24" spans="2:61" ht="14.25" customHeight="1">
      <c r="B24" s="645"/>
      <c r="C24" s="684"/>
      <c r="D24" s="656">
        <v>2</v>
      </c>
      <c r="E24" s="648" t="s">
        <v>743</v>
      </c>
      <c r="F24" s="685"/>
      <c r="G24" s="2583" t="s">
        <v>3218</v>
      </c>
      <c r="H24" s="2583" t="s">
        <v>3219</v>
      </c>
      <c r="I24" s="3096"/>
      <c r="J24" s="3097"/>
      <c r="K24" s="3097"/>
      <c r="L24" s="3097"/>
      <c r="M24" s="3098"/>
      <c r="N24" s="2949">
        <v>3</v>
      </c>
      <c r="O24" s="667">
        <f t="shared" si="5"/>
        <v>3</v>
      </c>
      <c r="P24" s="659" t="e">
        <f t="shared" si="2"/>
        <v>#DIV/0!</v>
      </c>
      <c r="Q24" s="2949"/>
      <c r="R24" s="667">
        <f t="shared" si="6"/>
        <v>3</v>
      </c>
      <c r="S24" s="659" t="e">
        <f t="shared" si="3"/>
        <v>#DIV/0!</v>
      </c>
      <c r="T24" s="642"/>
      <c r="U24" s="567"/>
      <c r="V24" s="2619">
        <f>IF(採点Q1!F168="対象外",0,採点Q1!F168)</f>
        <v>3</v>
      </c>
      <c r="W24" s="2620">
        <f>採点Q1!K168</f>
        <v>3</v>
      </c>
      <c r="Y24" s="660">
        <f t="shared" si="15"/>
        <v>3</v>
      </c>
      <c r="Z24" s="2611" t="e">
        <f>重み!D24</f>
        <v>#DIV/0!</v>
      </c>
      <c r="AA24" s="660">
        <f t="shared" si="16"/>
        <v>3</v>
      </c>
      <c r="AB24" s="2611" t="e">
        <f>重み!E24</f>
        <v>#DIV/0!</v>
      </c>
      <c r="AC24" s="2610"/>
      <c r="AD24" s="567"/>
      <c r="AE24" s="596" t="e">
        <f>重み!M24</f>
        <v>#DIV/0!</v>
      </c>
      <c r="AF24" s="581"/>
      <c r="AG24" s="596" t="e">
        <f>重み!N24</f>
        <v>#DIV/0!</v>
      </c>
      <c r="AW24"/>
      <c r="AX24"/>
      <c r="AY24"/>
    </row>
    <row r="25" spans="2:61" ht="14.25" customHeight="1">
      <c r="B25" s="645"/>
      <c r="C25" s="684"/>
      <c r="D25" s="656">
        <v>3</v>
      </c>
      <c r="E25" s="648" t="s">
        <v>744</v>
      </c>
      <c r="F25" s="685"/>
      <c r="G25" s="2583" t="s">
        <v>3220</v>
      </c>
      <c r="H25" s="2586"/>
      <c r="I25" s="3096"/>
      <c r="J25" s="3097"/>
      <c r="K25" s="3097"/>
      <c r="L25" s="3097"/>
      <c r="M25" s="3098"/>
      <c r="N25" s="2949">
        <v>3</v>
      </c>
      <c r="O25" s="667">
        <f t="shared" si="5"/>
        <v>3</v>
      </c>
      <c r="P25" s="659" t="e">
        <f t="shared" si="2"/>
        <v>#DIV/0!</v>
      </c>
      <c r="Q25" s="2949"/>
      <c r="R25" s="667">
        <f t="shared" si="6"/>
        <v>0</v>
      </c>
      <c r="S25" s="659" t="e">
        <f t="shared" si="3"/>
        <v>#DIV/0!</v>
      </c>
      <c r="T25" s="642"/>
      <c r="U25" s="567"/>
      <c r="V25" s="2619">
        <f>IF(採点Q1!F186="対象外",0,採点Q1!F186)</f>
        <v>3</v>
      </c>
      <c r="W25" s="2620"/>
      <c r="Y25" s="660">
        <f t="shared" si="15"/>
        <v>3</v>
      </c>
      <c r="Z25" s="2611" t="e">
        <f>重み!D25</f>
        <v>#DIV/0!</v>
      </c>
      <c r="AA25" s="660">
        <f t="shared" si="16"/>
        <v>0</v>
      </c>
      <c r="AB25" s="2611" t="e">
        <f>重み!E25</f>
        <v>#DIV/0!</v>
      </c>
      <c r="AC25" s="2610"/>
      <c r="AD25" s="567"/>
      <c r="AE25" s="596" t="e">
        <f>重み!M25</f>
        <v>#DIV/0!</v>
      </c>
      <c r="AF25" s="581"/>
      <c r="AG25" s="596" t="e">
        <f>重み!N25</f>
        <v>#DIV/0!</v>
      </c>
      <c r="AW25"/>
      <c r="AX25"/>
      <c r="AY25"/>
    </row>
    <row r="26" spans="2:61" s="2624" customFormat="1" ht="14.25" hidden="1" customHeight="1">
      <c r="B26" s="2648"/>
      <c r="C26" s="2655"/>
      <c r="D26" s="2672">
        <v>5</v>
      </c>
      <c r="E26" s="2673" t="s">
        <v>1930</v>
      </c>
      <c r="F26" s="2651"/>
      <c r="G26" s="2656" t="s">
        <v>3220</v>
      </c>
      <c r="H26" s="2575"/>
      <c r="I26" s="3096"/>
      <c r="J26" s="3097"/>
      <c r="K26" s="3097"/>
      <c r="L26" s="3097"/>
      <c r="M26" s="3098"/>
      <c r="N26" s="2949">
        <v>0</v>
      </c>
      <c r="O26" s="2618">
        <f t="shared" si="5"/>
        <v>0</v>
      </c>
      <c r="P26" s="2652" t="e">
        <f t="shared" si="2"/>
        <v>#DIV/0!</v>
      </c>
      <c r="Q26" s="2949"/>
      <c r="R26" s="2618">
        <f t="shared" si="6"/>
        <v>0</v>
      </c>
      <c r="S26" s="2652" t="e">
        <f t="shared" si="3"/>
        <v>#DIV/0!</v>
      </c>
      <c r="T26" s="2653"/>
      <c r="U26" s="2607"/>
      <c r="V26" s="2619">
        <f>IF(採点Q1!F195="対象外",0,採点Q1!F195)</f>
        <v>0</v>
      </c>
      <c r="W26" s="2620">
        <f>採点Q1!K195</f>
        <v>0</v>
      </c>
      <c r="Y26" s="1"/>
      <c r="Z26" s="2611" t="e">
        <f>重み!D26</f>
        <v>#DIV/0!</v>
      </c>
      <c r="AA26" s="1"/>
      <c r="AB26" s="2611" t="e">
        <f>重み!E26</f>
        <v>#DIV/0!</v>
      </c>
      <c r="AC26" s="2610"/>
      <c r="AD26" s="2607"/>
      <c r="AE26" s="2609" t="e">
        <f>重み!M26</f>
        <v>#DIV/0!</v>
      </c>
      <c r="AF26" s="2608"/>
      <c r="AG26" s="2609" t="e">
        <f>重み!N26</f>
        <v>#DIV/0!</v>
      </c>
    </row>
    <row r="27" spans="2:61" s="2624" customFormat="1" ht="14.25" hidden="1" customHeight="1">
      <c r="B27" s="2648"/>
      <c r="C27" s="2655"/>
      <c r="D27" s="2672">
        <v>6</v>
      </c>
      <c r="E27" s="2673" t="s">
        <v>745</v>
      </c>
      <c r="F27" s="2651"/>
      <c r="G27" s="2656" t="s">
        <v>3220</v>
      </c>
      <c r="H27" s="2575" t="s">
        <v>3221</v>
      </c>
      <c r="I27" s="3096"/>
      <c r="J27" s="3097"/>
      <c r="K27" s="3097"/>
      <c r="L27" s="3097"/>
      <c r="M27" s="3098"/>
      <c r="N27" s="2949">
        <v>0</v>
      </c>
      <c r="O27" s="2618">
        <f t="shared" si="5"/>
        <v>0</v>
      </c>
      <c r="P27" s="2652" t="e">
        <f t="shared" si="2"/>
        <v>#DIV/0!</v>
      </c>
      <c r="Q27" s="2949"/>
      <c r="R27" s="2618">
        <f t="shared" si="6"/>
        <v>0</v>
      </c>
      <c r="S27" s="2652" t="e">
        <f t="shared" si="3"/>
        <v>#DIV/0!</v>
      </c>
      <c r="T27" s="2653"/>
      <c r="U27" s="2607"/>
      <c r="V27" s="2619"/>
      <c r="W27" s="2620">
        <f>採点Q1!F204</f>
        <v>0</v>
      </c>
      <c r="Y27" s="1"/>
      <c r="Z27" s="2611" t="e">
        <f>重み!D27</f>
        <v>#DIV/0!</v>
      </c>
      <c r="AA27" s="1"/>
      <c r="AB27" s="2611" t="e">
        <f>重み!E27</f>
        <v>#DIV/0!</v>
      </c>
      <c r="AC27" s="2610"/>
      <c r="AD27" s="2607"/>
      <c r="AE27" s="2609" t="e">
        <f>重み!M27</f>
        <v>#DIV/0!</v>
      </c>
      <c r="AF27" s="2608"/>
      <c r="AG27" s="2609" t="e">
        <f>重み!N27</f>
        <v>#DIV/0!</v>
      </c>
    </row>
    <row r="28" spans="2:61" s="2624" customFormat="1" ht="14.25" hidden="1" customHeight="1">
      <c r="B28" s="2648"/>
      <c r="C28" s="2655"/>
      <c r="D28" s="2672">
        <v>7</v>
      </c>
      <c r="E28" s="2673" t="s">
        <v>270</v>
      </c>
      <c r="F28" s="2651"/>
      <c r="G28" s="2656" t="s">
        <v>3220</v>
      </c>
      <c r="H28" s="2575" t="s">
        <v>3222</v>
      </c>
      <c r="I28" s="3096"/>
      <c r="J28" s="3097"/>
      <c r="K28" s="3097"/>
      <c r="L28" s="3097"/>
      <c r="M28" s="3098"/>
      <c r="N28" s="2949">
        <v>0</v>
      </c>
      <c r="O28" s="2618">
        <f t="shared" si="5"/>
        <v>0</v>
      </c>
      <c r="P28" s="2652" t="e">
        <f t="shared" si="2"/>
        <v>#DIV/0!</v>
      </c>
      <c r="Q28" s="2949"/>
      <c r="R28" s="2618">
        <f t="shared" si="6"/>
        <v>0</v>
      </c>
      <c r="S28" s="2652" t="e">
        <f t="shared" si="3"/>
        <v>#DIV/0!</v>
      </c>
      <c r="T28" s="2653"/>
      <c r="U28" s="2607"/>
      <c r="V28" s="2619">
        <f>IF(採点Q1!F213="対象外",0,採点Q1!F213)</f>
        <v>0</v>
      </c>
      <c r="W28" s="2620"/>
      <c r="Y28" s="1"/>
      <c r="Z28" s="2611" t="e">
        <f>重み!D28</f>
        <v>#DIV/0!</v>
      </c>
      <c r="AA28" s="1"/>
      <c r="AB28" s="2611" t="e">
        <f>重み!E28</f>
        <v>#DIV/0!</v>
      </c>
      <c r="AC28" s="2610"/>
      <c r="AD28" s="2607"/>
      <c r="AE28" s="2609" t="e">
        <f>重み!M28</f>
        <v>#DIV/0!</v>
      </c>
      <c r="AF28" s="2608"/>
      <c r="AG28" s="2609" t="e">
        <f>重み!N28</f>
        <v>#DIV/0!</v>
      </c>
    </row>
    <row r="29" spans="2:61" s="2624" customFormat="1" ht="14.25" hidden="1" customHeight="1">
      <c r="B29" s="2648"/>
      <c r="C29" s="2655"/>
      <c r="D29" s="2672">
        <v>8</v>
      </c>
      <c r="E29" s="2673" t="s">
        <v>271</v>
      </c>
      <c r="F29" s="2651"/>
      <c r="G29" s="2656" t="s">
        <v>3220</v>
      </c>
      <c r="H29" s="2575" t="s">
        <v>3221</v>
      </c>
      <c r="I29" s="3096"/>
      <c r="J29" s="3097"/>
      <c r="K29" s="3097"/>
      <c r="L29" s="3097"/>
      <c r="M29" s="3098"/>
      <c r="N29" s="2949">
        <v>0</v>
      </c>
      <c r="O29" s="2618">
        <f t="shared" si="5"/>
        <v>0</v>
      </c>
      <c r="P29" s="2652" t="e">
        <f t="shared" si="2"/>
        <v>#DIV/0!</v>
      </c>
      <c r="Q29" s="2949"/>
      <c r="R29" s="2618">
        <f t="shared" si="6"/>
        <v>0</v>
      </c>
      <c r="S29" s="2652" t="e">
        <f t="shared" si="3"/>
        <v>#DIV/0!</v>
      </c>
      <c r="T29" s="2653"/>
      <c r="U29" s="2607"/>
      <c r="V29" s="2619">
        <f>IF(採点Q1!K213="対象外",0,採点Q1!K213)</f>
        <v>0</v>
      </c>
      <c r="W29" s="2620"/>
      <c r="Y29" s="1"/>
      <c r="Z29" s="2611" t="e">
        <f>重み!D29</f>
        <v>#DIV/0!</v>
      </c>
      <c r="AA29" s="1"/>
      <c r="AB29" s="2611" t="e">
        <f>重み!E29</f>
        <v>#DIV/0!</v>
      </c>
      <c r="AC29" s="2610"/>
      <c r="AD29" s="2607"/>
      <c r="AE29" s="2609" t="e">
        <f>重み!M29</f>
        <v>#DIV/0!</v>
      </c>
      <c r="AF29" s="2608"/>
      <c r="AG29" s="2609" t="e">
        <f>重み!N29</f>
        <v>#DIV/0!</v>
      </c>
    </row>
    <row r="30" spans="2:61" ht="14.25" customHeight="1">
      <c r="B30" s="645"/>
      <c r="C30" s="669">
        <v>2.2000000000000002</v>
      </c>
      <c r="D30" s="648" t="s">
        <v>272</v>
      </c>
      <c r="E30" s="686"/>
      <c r="F30" s="685"/>
      <c r="G30" s="2583" t="s">
        <v>3220</v>
      </c>
      <c r="H30" s="2586"/>
      <c r="I30" s="3096"/>
      <c r="J30" s="3097"/>
      <c r="K30" s="3097"/>
      <c r="L30" s="3097"/>
      <c r="M30" s="3098"/>
      <c r="N30" s="2951">
        <v>3</v>
      </c>
      <c r="O30" s="687">
        <f t="shared" si="5"/>
        <v>3</v>
      </c>
      <c r="P30" s="659" t="e">
        <f t="shared" si="2"/>
        <v>#DIV/0!</v>
      </c>
      <c r="Q30" s="2951"/>
      <c r="R30" s="687">
        <f t="shared" si="6"/>
        <v>3</v>
      </c>
      <c r="S30" s="659" t="e">
        <f t="shared" si="3"/>
        <v>#DIV/0!</v>
      </c>
      <c r="T30" s="642"/>
      <c r="U30" s="567"/>
      <c r="V30" s="2619">
        <f>IF(採点Q1!F222="対象外",0,採点Q1!F222)</f>
        <v>3</v>
      </c>
      <c r="W30" s="2620">
        <f>採点Q1!K222</f>
        <v>3</v>
      </c>
      <c r="Y30" s="2975">
        <f t="shared" si="15"/>
        <v>3</v>
      </c>
      <c r="Z30" s="2611" t="e">
        <f>重み!D30</f>
        <v>#DIV/0!</v>
      </c>
      <c r="AA30" s="2975">
        <f t="shared" si="16"/>
        <v>3</v>
      </c>
      <c r="AB30" s="2611" t="e">
        <f>重み!E30</f>
        <v>#DIV/0!</v>
      </c>
      <c r="AC30" s="2610"/>
      <c r="AD30" s="567"/>
      <c r="AE30" s="2609" t="e">
        <f>重み!M30</f>
        <v>#DIV/0!</v>
      </c>
      <c r="AF30" s="581"/>
      <c r="AG30" s="2609" t="e">
        <f>重み!N30</f>
        <v>#DIV/0!</v>
      </c>
      <c r="AW30"/>
      <c r="AX30"/>
      <c r="AY30"/>
    </row>
    <row r="31" spans="2:61" ht="14.25" customHeight="1" thickBot="1">
      <c r="B31" s="645"/>
      <c r="C31" s="664">
        <v>2.2999999999999998</v>
      </c>
      <c r="D31" s="647" t="s">
        <v>273</v>
      </c>
      <c r="E31" s="679"/>
      <c r="F31" s="680"/>
      <c r="G31" s="2583" t="s">
        <v>3220</v>
      </c>
      <c r="H31" s="2586"/>
      <c r="I31" s="3096" t="s">
        <v>3564</v>
      </c>
      <c r="J31" s="3097"/>
      <c r="K31" s="3097"/>
      <c r="L31" s="3097"/>
      <c r="M31" s="3098"/>
      <c r="N31" s="2949">
        <v>3</v>
      </c>
      <c r="O31" s="2618">
        <f t="shared" si="5"/>
        <v>5</v>
      </c>
      <c r="P31" s="659" t="e">
        <f t="shared" si="2"/>
        <v>#DIV/0!</v>
      </c>
      <c r="Q31" s="2949"/>
      <c r="R31" s="2618">
        <f t="shared" si="6"/>
        <v>3</v>
      </c>
      <c r="S31" s="659" t="e">
        <f t="shared" si="3"/>
        <v>#DIV/0!</v>
      </c>
      <c r="T31" s="642"/>
      <c r="U31" s="567"/>
      <c r="V31" s="2616">
        <f>IF(採点Q1!F239="対象外",0,採点Q1!F239)</f>
        <v>5</v>
      </c>
      <c r="W31" s="2617">
        <f>採点Q1!K239</f>
        <v>3</v>
      </c>
      <c r="Y31" s="2975">
        <f>IF($Y$3=4,N31,V31)</f>
        <v>5</v>
      </c>
      <c r="Z31" s="2611" t="e">
        <f>重み!D31</f>
        <v>#DIV/0!</v>
      </c>
      <c r="AA31" s="2975">
        <f>IF($Y$3=4,Q31,W31)</f>
        <v>3</v>
      </c>
      <c r="AB31" s="2611" t="e">
        <f>重み!E31</f>
        <v>#DIV/0!</v>
      </c>
      <c r="AC31" s="2610"/>
      <c r="AD31" s="567"/>
      <c r="AE31" s="2609" t="e">
        <f>重み!M31</f>
        <v>#DIV/0!</v>
      </c>
      <c r="AF31" s="581"/>
      <c r="AG31" s="2609" t="e">
        <f>重み!N31</f>
        <v>#DIV/0!</v>
      </c>
      <c r="AW31"/>
      <c r="AX31"/>
      <c r="AY31"/>
    </row>
    <row r="32" spans="2:61" s="2687" customFormat="1" ht="14.25" hidden="1" customHeight="1" thickBot="1">
      <c r="B32" s="645"/>
      <c r="C32" s="3014">
        <v>2.2999999999999998</v>
      </c>
      <c r="D32" s="2640" t="s">
        <v>273</v>
      </c>
      <c r="E32" s="686"/>
      <c r="F32" s="685"/>
      <c r="G32" s="2583" t="s">
        <v>3220</v>
      </c>
      <c r="H32" s="2586"/>
      <c r="I32" s="636"/>
      <c r="J32" s="637"/>
      <c r="K32" s="637"/>
      <c r="L32" s="637"/>
      <c r="M32" s="638"/>
      <c r="N32" s="2949">
        <v>0</v>
      </c>
      <c r="O32" s="2618" t="e">
        <f t="shared" si="5"/>
        <v>#DIV/0!</v>
      </c>
      <c r="P32" s="659" t="e">
        <f t="shared" ref="P32" si="17">Z32</f>
        <v>#DIV/0!</v>
      </c>
      <c r="Q32" s="2949"/>
      <c r="R32" s="2618" t="e">
        <f t="shared" si="6"/>
        <v>#DIV/0!</v>
      </c>
      <c r="S32" s="659" t="e">
        <f t="shared" ref="S32" si="18">AB32</f>
        <v>#DIV/0!</v>
      </c>
      <c r="T32" s="642"/>
      <c r="U32" s="2607"/>
      <c r="V32" s="2995"/>
      <c r="W32" s="2995"/>
      <c r="Y32" s="643" t="e">
        <f>SUMPRODUCT(Y33:Y34,Z33:Z34)</f>
        <v>#DIV/0!</v>
      </c>
      <c r="Z32" s="2611" t="e">
        <f>重み!D32</f>
        <v>#DIV/0!</v>
      </c>
      <c r="AA32" s="643" t="e">
        <f>SUMPRODUCT(AA33:AA34,AB33:AB34)</f>
        <v>#DIV/0!</v>
      </c>
      <c r="AB32" s="2611" t="e">
        <f>重み!E32</f>
        <v>#DIV/0!</v>
      </c>
      <c r="AC32" s="2610"/>
      <c r="AD32" s="2607"/>
      <c r="AE32" s="2609" t="e">
        <f>重み!M32</f>
        <v>#DIV/0!</v>
      </c>
      <c r="AF32" s="2608"/>
      <c r="AG32" s="2609" t="e">
        <f>重み!N33</f>
        <v>#DIV/0!</v>
      </c>
    </row>
    <row r="33" spans="2:61" ht="14.25" hidden="1" customHeight="1">
      <c r="B33" s="645"/>
      <c r="C33" s="688"/>
      <c r="D33" s="2639">
        <v>1</v>
      </c>
      <c r="E33" s="2640" t="s">
        <v>274</v>
      </c>
      <c r="F33" s="2641"/>
      <c r="G33" s="2597"/>
      <c r="H33" s="2597"/>
      <c r="I33" s="3096"/>
      <c r="J33" s="3097"/>
      <c r="K33" s="3097"/>
      <c r="L33" s="3097"/>
      <c r="M33" s="3098"/>
      <c r="N33" s="2949">
        <v>0</v>
      </c>
      <c r="O33" s="2618">
        <f t="shared" si="5"/>
        <v>0</v>
      </c>
      <c r="P33" s="659" t="e">
        <f t="shared" si="2"/>
        <v>#DIV/0!</v>
      </c>
      <c r="Q33" s="2949"/>
      <c r="R33" s="2618">
        <f t="shared" si="6"/>
        <v>0</v>
      </c>
      <c r="S33" s="659" t="e">
        <f t="shared" si="3"/>
        <v>#DIV/0!</v>
      </c>
      <c r="T33" s="642"/>
      <c r="U33" s="689"/>
      <c r="V33" s="2613">
        <f>採点Q1!F256</f>
        <v>0</v>
      </c>
      <c r="W33" s="2614"/>
      <c r="Y33" s="660">
        <f t="shared" ref="Y33:Y34" si="19">IF($Y$3=4,N33,V33)</f>
        <v>0</v>
      </c>
      <c r="Z33" s="2611" t="e">
        <f>重み!D33</f>
        <v>#DIV/0!</v>
      </c>
      <c r="AA33" s="660">
        <f t="shared" ref="AA33:AA34" si="20">IF($Y$3=4,Q33,W33)</f>
        <v>0</v>
      </c>
      <c r="AB33" s="2611" t="e">
        <f>重み!E33</f>
        <v>#DIV/0!</v>
      </c>
      <c r="AC33" s="2610"/>
      <c r="AD33" s="2607"/>
      <c r="AE33" s="2609" t="e">
        <f>重み!M33</f>
        <v>#DIV/0!</v>
      </c>
      <c r="AF33" s="2608"/>
      <c r="AG33" s="2609" t="e">
        <f>重み!N33</f>
        <v>#DIV/0!</v>
      </c>
      <c r="AS33" s="2377">
        <f t="shared" si="13"/>
        <v>0</v>
      </c>
    </row>
    <row r="34" spans="2:61" ht="14.25" hidden="1" customHeight="1" thickBot="1">
      <c r="B34" s="691"/>
      <c r="C34" s="692"/>
      <c r="D34" s="2639">
        <v>2</v>
      </c>
      <c r="E34" s="2640" t="s">
        <v>1845</v>
      </c>
      <c r="F34" s="2641"/>
      <c r="G34" s="2597"/>
      <c r="H34" s="2597"/>
      <c r="I34" s="3096"/>
      <c r="J34" s="3097"/>
      <c r="K34" s="3097"/>
      <c r="L34" s="3097"/>
      <c r="M34" s="3098"/>
      <c r="N34" s="2950">
        <v>0</v>
      </c>
      <c r="O34" s="670">
        <f t="shared" si="5"/>
        <v>0</v>
      </c>
      <c r="P34" s="659" t="e">
        <f t="shared" si="2"/>
        <v>#DIV/0!</v>
      </c>
      <c r="Q34" s="2950"/>
      <c r="R34" s="670">
        <f t="shared" si="6"/>
        <v>0</v>
      </c>
      <c r="S34" s="659" t="e">
        <f t="shared" si="3"/>
        <v>#DIV/0!</v>
      </c>
      <c r="T34" s="642"/>
      <c r="U34" s="689"/>
      <c r="V34" s="2616">
        <f>採点Q1!K256</f>
        <v>0</v>
      </c>
      <c r="W34" s="2617"/>
      <c r="Y34" s="660">
        <f t="shared" si="19"/>
        <v>0</v>
      </c>
      <c r="Z34" s="2611" t="e">
        <f>重み!D34</f>
        <v>#DIV/0!</v>
      </c>
      <c r="AA34" s="660">
        <f t="shared" si="20"/>
        <v>0</v>
      </c>
      <c r="AB34" s="2611" t="e">
        <f>重み!E34</f>
        <v>#DIV/0!</v>
      </c>
      <c r="AC34" s="2610"/>
      <c r="AD34" s="2607"/>
      <c r="AE34" s="2609" t="e">
        <f>重み!M34</f>
        <v>#DIV/0!</v>
      </c>
      <c r="AF34" s="2608"/>
      <c r="AG34" s="2609" t="e">
        <f>重み!N34</f>
        <v>#DIV/0!</v>
      </c>
      <c r="AS34" s="2377">
        <f t="shared" si="13"/>
        <v>0</v>
      </c>
    </row>
    <row r="35" spans="2:61" ht="14.25" customHeight="1">
      <c r="B35" s="726">
        <v>3</v>
      </c>
      <c r="C35" s="671" t="s">
        <v>1846</v>
      </c>
      <c r="D35" s="740"/>
      <c r="E35" s="679"/>
      <c r="F35" s="680"/>
      <c r="G35" s="2585" t="s">
        <v>3215</v>
      </c>
      <c r="H35" s="2582"/>
      <c r="I35" s="650"/>
      <c r="J35" s="651"/>
      <c r="K35" s="651"/>
      <c r="L35" s="651"/>
      <c r="M35" s="3010"/>
      <c r="N35" s="2221" t="e">
        <f>ROUNDDOWN(Y35,1)</f>
        <v>#DIV/0!</v>
      </c>
      <c r="O35" s="2221" t="e">
        <f t="shared" si="5"/>
        <v>#DIV/0!</v>
      </c>
      <c r="P35" s="675" t="e">
        <f>Z35</f>
        <v>#DIV/0!</v>
      </c>
      <c r="Q35" s="2221" t="e">
        <f>ROUNDDOWN(AA35,1)</f>
        <v>#DIV/0!</v>
      </c>
      <c r="R35" s="2221" t="e">
        <f t="shared" si="6"/>
        <v>#DIV/0!</v>
      </c>
      <c r="S35" s="676" t="e">
        <f t="shared" ref="S35:S36" si="21">AB35</f>
        <v>#DIV/0!</v>
      </c>
      <c r="T35" s="677" t="e">
        <f>ROUNDDOWN(AC35,1)</f>
        <v>#DIV/0!</v>
      </c>
      <c r="U35" s="567"/>
      <c r="V35" s="2986"/>
      <c r="W35" s="2986"/>
      <c r="Y35" s="2978" t="e">
        <f>Y36*Z36+Y40*Z40+Y44*Z44+Y47*Z47</f>
        <v>#DIV/0!</v>
      </c>
      <c r="Z35" s="2611" t="e">
        <f>重み!D35</f>
        <v>#DIV/0!</v>
      </c>
      <c r="AA35" s="2978" t="e">
        <f>AA36*AB36+AA40*AB40+AA44*AB44+AA47*AB47</f>
        <v>#DIV/0!</v>
      </c>
      <c r="AB35" s="644" t="e">
        <f>SUM(AB36,AB40,AB44,AB47)</f>
        <v>#DIV/0!</v>
      </c>
      <c r="AC35" s="617" t="e">
        <f>IF(AA35=0,Y35,IF(Y35=0,AA35,Y35*AE$6+AA35*AG$6))</f>
        <v>#DIV/0!</v>
      </c>
      <c r="AD35" s="567"/>
      <c r="AE35" s="596" t="e">
        <f>重み!M35</f>
        <v>#DIV/0!</v>
      </c>
      <c r="AF35" s="581"/>
      <c r="AG35" s="644" t="e">
        <f>SUM(AG36,AG40,AG44,AG47)</f>
        <v>#DIV/0!</v>
      </c>
      <c r="AI35" s="2358">
        <v>3</v>
      </c>
      <c r="AJ35" s="2358"/>
      <c r="AK35" s="2358"/>
      <c r="AL35" s="2358"/>
      <c r="AM35" s="2358"/>
      <c r="AN35" s="2358">
        <v>0</v>
      </c>
      <c r="AO35" s="2358"/>
      <c r="AP35" s="2358"/>
      <c r="AQ35" s="2358"/>
      <c r="AR35" s="2358"/>
      <c r="AS35" s="2355" t="e">
        <f t="shared" si="13"/>
        <v>#DIV/0!</v>
      </c>
      <c r="AT35" s="810" t="e">
        <f>P35</f>
        <v>#DIV/0!</v>
      </c>
      <c r="AU35" s="677"/>
      <c r="AV35" s="2329"/>
      <c r="AW35" s="2354" t="e">
        <f>IF(AY35=0,0,SUMPRODUCT($AZ$7:$BI$7,AI35:AR35)/AY35)</f>
        <v>#DIV/0!</v>
      </c>
      <c r="AY35" s="2353" t="e">
        <f>SUMPRODUCT($AZ$7:$BI$7,AZ35:BI35)</f>
        <v>#DIV/0!</v>
      </c>
      <c r="AZ35" s="2339">
        <f t="shared" ref="AZ35:BI35" si="22">IF(AI35&gt;0,1,0)</f>
        <v>1</v>
      </c>
      <c r="BA35" s="2339">
        <f t="shared" si="22"/>
        <v>0</v>
      </c>
      <c r="BB35" s="2339">
        <f t="shared" si="22"/>
        <v>0</v>
      </c>
      <c r="BC35" s="2339">
        <f t="shared" si="22"/>
        <v>0</v>
      </c>
      <c r="BD35" s="2339">
        <f t="shared" si="22"/>
        <v>0</v>
      </c>
      <c r="BE35" s="2339">
        <f t="shared" si="22"/>
        <v>0</v>
      </c>
      <c r="BF35" s="2339">
        <f t="shared" si="22"/>
        <v>0</v>
      </c>
      <c r="BG35" s="2339">
        <f t="shared" si="22"/>
        <v>0</v>
      </c>
      <c r="BH35" s="2339">
        <f t="shared" si="22"/>
        <v>0</v>
      </c>
      <c r="BI35" s="2339">
        <f t="shared" si="22"/>
        <v>0</v>
      </c>
    </row>
    <row r="36" spans="2:61" ht="14.25" customHeight="1" thickBot="1">
      <c r="B36" s="645"/>
      <c r="C36" s="646">
        <v>3.1</v>
      </c>
      <c r="D36" s="678" t="s">
        <v>1847</v>
      </c>
      <c r="E36" s="679"/>
      <c r="F36" s="680"/>
      <c r="G36" s="2597"/>
      <c r="H36" s="2597"/>
      <c r="I36" s="650"/>
      <c r="J36" s="651"/>
      <c r="K36" s="651"/>
      <c r="L36" s="651"/>
      <c r="M36" s="3010"/>
      <c r="N36" s="652" t="e">
        <f>ROUNDDOWN(Y36,1)</f>
        <v>#DIV/0!</v>
      </c>
      <c r="O36" s="652" t="e">
        <f t="shared" si="5"/>
        <v>#DIV/0!</v>
      </c>
      <c r="P36" s="681" t="e">
        <f>Z36</f>
        <v>#DIV/0!</v>
      </c>
      <c r="Q36" s="682" t="e">
        <f>ROUNDDOWN(AA36,1)</f>
        <v>#DIV/0!</v>
      </c>
      <c r="R36" s="2956" t="e">
        <f t="shared" si="6"/>
        <v>#DIV/0!</v>
      </c>
      <c r="S36" s="683" t="e">
        <f t="shared" si="21"/>
        <v>#DIV/0!</v>
      </c>
      <c r="T36" s="654"/>
      <c r="U36" s="567"/>
      <c r="V36" s="2987"/>
      <c r="W36" s="2987"/>
      <c r="Y36" s="643" t="e">
        <f>SUMPRODUCT(Y37:Y39,Z37:Z39)</f>
        <v>#DIV/0!</v>
      </c>
      <c r="Z36" s="2611" t="e">
        <f>重み!D36</f>
        <v>#DIV/0!</v>
      </c>
      <c r="AA36" s="643" t="e">
        <f>SUMPRODUCT(AA37:AA39,AB37:AB39)</f>
        <v>#DIV/0!</v>
      </c>
      <c r="AB36" s="2611" t="e">
        <f>重み!E36</f>
        <v>#DIV/0!</v>
      </c>
      <c r="AC36" s="617"/>
      <c r="AD36" s="567"/>
      <c r="AE36" s="596" t="e">
        <f>重み!M36</f>
        <v>#DIV/0!</v>
      </c>
      <c r="AF36" s="581"/>
      <c r="AG36" s="596" t="e">
        <f>重み!N36</f>
        <v>#DIV/0!</v>
      </c>
      <c r="AW36"/>
      <c r="AX36"/>
      <c r="AY36"/>
    </row>
    <row r="37" spans="2:61" ht="14.25" customHeight="1">
      <c r="B37" s="645"/>
      <c r="C37" s="684"/>
      <c r="D37" s="656">
        <v>1</v>
      </c>
      <c r="E37" s="648" t="s">
        <v>1848</v>
      </c>
      <c r="F37" s="685"/>
      <c r="G37" s="2583" t="s">
        <v>3223</v>
      </c>
      <c r="H37" s="2586"/>
      <c r="I37" s="3096" t="s">
        <v>3565</v>
      </c>
      <c r="J37" s="3097"/>
      <c r="K37" s="3097"/>
      <c r="L37" s="3097"/>
      <c r="M37" s="3098"/>
      <c r="N37" s="2953">
        <v>3</v>
      </c>
      <c r="O37" s="658">
        <f t="shared" si="5"/>
        <v>5</v>
      </c>
      <c r="P37" s="659" t="e">
        <f t="shared" si="2"/>
        <v>#DIV/0!</v>
      </c>
      <c r="Q37" s="2948"/>
      <c r="R37" s="658">
        <f t="shared" si="6"/>
        <v>3</v>
      </c>
      <c r="S37" s="659" t="e">
        <f t="shared" si="3"/>
        <v>#DIV/0!</v>
      </c>
      <c r="T37" s="642"/>
      <c r="U37" s="567"/>
      <c r="V37" s="2613">
        <f>IF(採点Q1!F267="対象外",0,採点Q1!F267)</f>
        <v>5</v>
      </c>
      <c r="W37" s="2614">
        <f>採点Q1!K267</f>
        <v>3</v>
      </c>
      <c r="Y37" s="660">
        <f t="shared" ref="Y37:Y39" si="23">IF($Y$3=4,N37,V37)</f>
        <v>5</v>
      </c>
      <c r="Z37" s="2611" t="e">
        <f>重み!D37</f>
        <v>#DIV/0!</v>
      </c>
      <c r="AA37" s="660">
        <f>IF($Y$3=4,Q37,W37)</f>
        <v>3</v>
      </c>
      <c r="AB37" s="2611" t="e">
        <f>重み!E37</f>
        <v>#DIV/0!</v>
      </c>
      <c r="AC37" s="2610"/>
      <c r="AD37" s="567"/>
      <c r="AE37" s="596" t="e">
        <f>重み!M37</f>
        <v>#DIV/0!</v>
      </c>
      <c r="AF37" s="581"/>
      <c r="AG37" s="596" t="e">
        <f>重み!N37</f>
        <v>#DIV/0!</v>
      </c>
      <c r="AW37"/>
      <c r="AX37"/>
      <c r="AY37"/>
    </row>
    <row r="38" spans="2:61" ht="14.25" customHeight="1">
      <c r="B38" s="645"/>
      <c r="C38" s="684"/>
      <c r="D38" s="656">
        <v>2</v>
      </c>
      <c r="E38" s="648" t="s">
        <v>1849</v>
      </c>
      <c r="F38" s="685"/>
      <c r="G38" s="2583" t="s">
        <v>3224</v>
      </c>
      <c r="H38" s="2586"/>
      <c r="I38" s="3096"/>
      <c r="J38" s="3097"/>
      <c r="K38" s="3097"/>
      <c r="L38" s="3097"/>
      <c r="M38" s="3098"/>
      <c r="N38" s="2954">
        <v>0</v>
      </c>
      <c r="O38" s="667">
        <f t="shared" si="5"/>
        <v>0</v>
      </c>
      <c r="P38" s="659" t="e">
        <f t="shared" si="2"/>
        <v>#DIV/0!</v>
      </c>
      <c r="Q38" s="2949"/>
      <c r="R38" s="667">
        <f t="shared" si="6"/>
        <v>3</v>
      </c>
      <c r="S38" s="659" t="e">
        <f t="shared" si="3"/>
        <v>#DIV/0!</v>
      </c>
      <c r="T38" s="642"/>
      <c r="U38" s="567"/>
      <c r="V38" s="2619"/>
      <c r="W38" s="2620">
        <f>採点Q1!F276</f>
        <v>3</v>
      </c>
      <c r="Y38" s="660">
        <f t="shared" si="23"/>
        <v>0</v>
      </c>
      <c r="Z38" s="2611" t="e">
        <f>重み!D38</f>
        <v>#DIV/0!</v>
      </c>
      <c r="AA38" s="660">
        <f>IF($Y$3=4,Q38,W38)</f>
        <v>3</v>
      </c>
      <c r="AB38" s="2611" t="e">
        <f>重み!E38</f>
        <v>#DIV/0!</v>
      </c>
      <c r="AC38" s="2610"/>
      <c r="AD38" s="567"/>
      <c r="AE38" s="596" t="e">
        <f>重み!M38</f>
        <v>#DIV/0!</v>
      </c>
      <c r="AF38" s="581"/>
      <c r="AG38" s="596" t="e">
        <f>重み!N38</f>
        <v>#DIV/0!</v>
      </c>
      <c r="AW38"/>
      <c r="AX38"/>
      <c r="AY38"/>
    </row>
    <row r="39" spans="2:61" ht="14.25" customHeight="1" thickBot="1">
      <c r="B39" s="645"/>
      <c r="C39" s="693"/>
      <c r="D39" s="656">
        <v>3</v>
      </c>
      <c r="E39" s="648" t="s">
        <v>1850</v>
      </c>
      <c r="F39" s="685"/>
      <c r="G39" s="2583" t="s">
        <v>3224</v>
      </c>
      <c r="H39" s="2586"/>
      <c r="I39" s="3096" t="s">
        <v>3568</v>
      </c>
      <c r="J39" s="3097"/>
      <c r="K39" s="3097"/>
      <c r="L39" s="3097"/>
      <c r="M39" s="3098"/>
      <c r="N39" s="2955">
        <v>3</v>
      </c>
      <c r="O39" s="663">
        <f t="shared" si="5"/>
        <v>4</v>
      </c>
      <c r="P39" s="659" t="e">
        <f t="shared" si="2"/>
        <v>#DIV/0!</v>
      </c>
      <c r="Q39" s="2952"/>
      <c r="R39" s="663">
        <f t="shared" si="6"/>
        <v>3</v>
      </c>
      <c r="S39" s="659" t="e">
        <f t="shared" si="3"/>
        <v>#DIV/0!</v>
      </c>
      <c r="T39" s="642"/>
      <c r="U39" s="567"/>
      <c r="V39" s="2616">
        <f>IF(採点Q1!F285="対象外",0,採点Q1!F285)</f>
        <v>4</v>
      </c>
      <c r="W39" s="2617">
        <f>採点Q1!K285</f>
        <v>3</v>
      </c>
      <c r="Y39" s="660">
        <f t="shared" si="23"/>
        <v>4</v>
      </c>
      <c r="Z39" s="2611" t="e">
        <f>重み!D39</f>
        <v>#DIV/0!</v>
      </c>
      <c r="AA39" s="660">
        <f t="shared" ref="AA39" si="24">IF($Y$3=4,Q39,W39)</f>
        <v>3</v>
      </c>
      <c r="AB39" s="2611" t="e">
        <f>重み!E39</f>
        <v>#DIV/0!</v>
      </c>
      <c r="AC39" s="2610"/>
      <c r="AD39" s="567"/>
      <c r="AE39" s="596" t="e">
        <f>重み!M39</f>
        <v>#DIV/0!</v>
      </c>
      <c r="AF39" s="581"/>
      <c r="AG39" s="596" t="e">
        <f>重み!N39</f>
        <v>#DIV/0!</v>
      </c>
      <c r="AW39"/>
      <c r="AX39"/>
      <c r="AY39"/>
    </row>
    <row r="40" spans="2:61" ht="14.25" customHeight="1" thickBot="1">
      <c r="B40" s="694"/>
      <c r="C40" s="664">
        <v>3.2</v>
      </c>
      <c r="D40" s="647" t="s">
        <v>1851</v>
      </c>
      <c r="E40" s="679"/>
      <c r="F40" s="680"/>
      <c r="G40" s="2581"/>
      <c r="H40" s="2597"/>
      <c r="I40" s="636"/>
      <c r="J40" s="637"/>
      <c r="K40" s="637"/>
      <c r="L40" s="637"/>
      <c r="M40" s="638"/>
      <c r="N40" s="3015" t="e">
        <f>ROUNDDOWN(Y40,1)</f>
        <v>#DIV/0!</v>
      </c>
      <c r="O40" s="2230" t="e">
        <f t="shared" si="5"/>
        <v>#DIV/0!</v>
      </c>
      <c r="P40" s="640" t="e">
        <f>Z40</f>
        <v>#DIV/0!</v>
      </c>
      <c r="Q40" s="696" t="e">
        <f>ROUNDDOWN(AA40,1)</f>
        <v>#DIV/0!</v>
      </c>
      <c r="R40" s="2230" t="e">
        <f t="shared" si="6"/>
        <v>#DIV/0!</v>
      </c>
      <c r="S40" s="641" t="e">
        <f t="shared" ref="S40" si="25">AB40</f>
        <v>#DIV/0!</v>
      </c>
      <c r="T40" s="642"/>
      <c r="U40" s="567"/>
      <c r="V40" s="2985"/>
      <c r="W40" s="2985"/>
      <c r="Y40" s="643" t="e">
        <f>SUMPRODUCT(Y41:Y43,Z41:Z43)</f>
        <v>#DIV/0!</v>
      </c>
      <c r="Z40" s="2611" t="e">
        <f>重み!D40</f>
        <v>#DIV/0!</v>
      </c>
      <c r="AA40" s="643" t="e">
        <f>SUMPRODUCT(AA41:AA43,AB41:AB43)</f>
        <v>#DIV/0!</v>
      </c>
      <c r="AB40" s="2611" t="e">
        <f>重み!E40</f>
        <v>#DIV/0!</v>
      </c>
      <c r="AC40" s="617"/>
      <c r="AD40" s="567"/>
      <c r="AE40" s="596" t="e">
        <f>重み!M40</f>
        <v>#DIV/0!</v>
      </c>
      <c r="AF40" s="581"/>
      <c r="AG40" s="596" t="e">
        <f>重み!N40</f>
        <v>#DIV/0!</v>
      </c>
      <c r="AW40"/>
      <c r="AX40"/>
      <c r="AY40"/>
    </row>
    <row r="41" spans="2:61" s="2624" customFormat="1" ht="14.25" hidden="1" customHeight="1">
      <c r="B41" s="2657"/>
      <c r="C41" s="2655"/>
      <c r="D41" s="2672">
        <v>1</v>
      </c>
      <c r="E41" s="2673" t="s">
        <v>1852</v>
      </c>
      <c r="F41" s="2651"/>
      <c r="G41" s="2656"/>
      <c r="H41" s="2575"/>
      <c r="I41" s="3096"/>
      <c r="J41" s="3097"/>
      <c r="K41" s="3097"/>
      <c r="L41" s="3097"/>
      <c r="M41" s="3098"/>
      <c r="N41" s="819"/>
      <c r="O41" s="2612">
        <f t="shared" si="5"/>
        <v>0</v>
      </c>
      <c r="P41" s="2652" t="e">
        <f t="shared" si="2"/>
        <v>#DIV/0!</v>
      </c>
      <c r="Q41" s="2612"/>
      <c r="R41" s="2612">
        <f t="shared" si="6"/>
        <v>0</v>
      </c>
      <c r="S41" s="2652" t="e">
        <f t="shared" si="3"/>
        <v>#DIV/0!</v>
      </c>
      <c r="T41" s="2653"/>
      <c r="U41" s="2607"/>
      <c r="V41" s="2613">
        <f>IF(採点Q1!F295="対象外",0,採点Q1!F295)</f>
        <v>0</v>
      </c>
      <c r="W41" s="2614">
        <f>採点Q1!K295</f>
        <v>0</v>
      </c>
      <c r="Y41" s="1"/>
      <c r="Z41" s="2611" t="e">
        <f>重み!D41</f>
        <v>#DIV/0!</v>
      </c>
      <c r="AA41" s="1"/>
      <c r="AB41" s="2611" t="e">
        <f>重み!E41</f>
        <v>#DIV/0!</v>
      </c>
      <c r="AC41" s="2610"/>
      <c r="AD41" s="2607"/>
      <c r="AE41" s="2609" t="e">
        <f>重み!M41</f>
        <v>#DIV/0!</v>
      </c>
      <c r="AF41" s="2608"/>
      <c r="AG41" s="2609" t="e">
        <f>重み!N41</f>
        <v>#DIV/0!</v>
      </c>
    </row>
    <row r="42" spans="2:61" ht="14.25" customHeight="1">
      <c r="B42" s="694"/>
      <c r="C42" s="684"/>
      <c r="D42" s="656">
        <v>1</v>
      </c>
      <c r="E42" s="648" t="s">
        <v>1853</v>
      </c>
      <c r="F42" s="685"/>
      <c r="G42" s="2583" t="s">
        <v>3224</v>
      </c>
      <c r="H42" s="2586"/>
      <c r="I42" s="3096"/>
      <c r="J42" s="3097"/>
      <c r="K42" s="3097"/>
      <c r="L42" s="3097"/>
      <c r="M42" s="3098"/>
      <c r="N42" s="2954">
        <v>5</v>
      </c>
      <c r="O42" s="667">
        <f t="shared" si="5"/>
        <v>3</v>
      </c>
      <c r="P42" s="659" t="e">
        <f t="shared" si="2"/>
        <v>#DIV/0!</v>
      </c>
      <c r="Q42" s="2951"/>
      <c r="R42" s="687">
        <f t="shared" si="6"/>
        <v>3</v>
      </c>
      <c r="S42" s="659" t="e">
        <f t="shared" si="3"/>
        <v>#DIV/0!</v>
      </c>
      <c r="T42" s="642"/>
      <c r="U42" s="567"/>
      <c r="V42" s="2619">
        <f>IF(採点Q1!F304="対象外",0,採点Q1!F304)</f>
        <v>3</v>
      </c>
      <c r="W42" s="2620">
        <f>採点Q1!K304</f>
        <v>3</v>
      </c>
      <c r="Y42" s="660">
        <f t="shared" ref="Y42:Y47" si="26">IF($Y$3=4,N42,V42)</f>
        <v>3</v>
      </c>
      <c r="Z42" s="2611" t="e">
        <f>重み!D42</f>
        <v>#DIV/0!</v>
      </c>
      <c r="AA42" s="660">
        <f t="shared" ref="AA42:AA47" si="27">IF($Y$3=4,Q42,W42)</f>
        <v>3</v>
      </c>
      <c r="AB42" s="2611" t="e">
        <f>重み!E42</f>
        <v>#DIV/0!</v>
      </c>
      <c r="AC42" s="2610"/>
      <c r="AD42" s="567"/>
      <c r="AE42" s="596" t="e">
        <f>重み!M42</f>
        <v>#DIV/0!</v>
      </c>
      <c r="AF42" s="581"/>
      <c r="AG42" s="596" t="e">
        <f>重み!N42</f>
        <v>#DIV/0!</v>
      </c>
      <c r="AW42"/>
      <c r="AX42"/>
      <c r="AY42"/>
    </row>
    <row r="43" spans="2:61" ht="14.25" hidden="1" customHeight="1">
      <c r="B43" s="694"/>
      <c r="C43" s="693"/>
      <c r="D43" s="2639">
        <v>2</v>
      </c>
      <c r="E43" s="2640" t="s">
        <v>989</v>
      </c>
      <c r="F43" s="2641"/>
      <c r="G43" s="2580"/>
      <c r="H43" s="2586"/>
      <c r="I43" s="3096"/>
      <c r="J43" s="3097"/>
      <c r="K43" s="3097"/>
      <c r="L43" s="3097"/>
      <c r="M43" s="3098"/>
      <c r="N43" s="2954">
        <v>0</v>
      </c>
      <c r="O43" s="667">
        <f t="shared" si="5"/>
        <v>0</v>
      </c>
      <c r="P43" s="659" t="e">
        <f t="shared" si="2"/>
        <v>#DIV/0!</v>
      </c>
      <c r="Q43" s="2951"/>
      <c r="R43" s="687">
        <f t="shared" si="6"/>
        <v>0</v>
      </c>
      <c r="S43" s="659" t="e">
        <f t="shared" si="3"/>
        <v>#DIV/0!</v>
      </c>
      <c r="T43" s="642"/>
      <c r="U43" s="567"/>
      <c r="V43" s="2619">
        <f>採点Q1!F313</f>
        <v>0</v>
      </c>
      <c r="W43" s="2620"/>
      <c r="Y43" s="660">
        <f t="shared" si="26"/>
        <v>0</v>
      </c>
      <c r="Z43" s="2611" t="e">
        <f>重み!D43</f>
        <v>#DIV/0!</v>
      </c>
      <c r="AA43" s="660">
        <f t="shared" si="27"/>
        <v>0</v>
      </c>
      <c r="AB43" s="2611" t="e">
        <f>重み!E43</f>
        <v>#DIV/0!</v>
      </c>
      <c r="AC43" s="2610"/>
      <c r="AD43" s="567"/>
      <c r="AE43" s="596" t="e">
        <f>重み!M43</f>
        <v>#DIV/0!</v>
      </c>
      <c r="AF43" s="581"/>
      <c r="AG43" s="596" t="e">
        <f>重み!N43</f>
        <v>#DIV/0!</v>
      </c>
      <c r="AW43"/>
      <c r="AX43"/>
      <c r="AY43"/>
    </row>
    <row r="44" spans="2:61" ht="14.25" customHeight="1">
      <c r="B44" s="698"/>
      <c r="C44" s="646">
        <v>3.3</v>
      </c>
      <c r="D44" s="678" t="s">
        <v>990</v>
      </c>
      <c r="E44" s="678"/>
      <c r="F44" s="699"/>
      <c r="G44" s="2583" t="s">
        <v>3224</v>
      </c>
      <c r="H44" s="2586"/>
      <c r="I44" s="3096"/>
      <c r="J44" s="3097"/>
      <c r="K44" s="3097"/>
      <c r="L44" s="3097"/>
      <c r="M44" s="3098"/>
      <c r="N44" s="3013">
        <v>3</v>
      </c>
      <c r="O44" s="687">
        <f t="shared" si="5"/>
        <v>3</v>
      </c>
      <c r="P44" s="659" t="e">
        <f t="shared" si="2"/>
        <v>#DIV/0!</v>
      </c>
      <c r="Q44" s="2951"/>
      <c r="R44" s="687">
        <f t="shared" si="6"/>
        <v>3</v>
      </c>
      <c r="S44" s="659" t="e">
        <f t="shared" si="3"/>
        <v>#DIV/0!</v>
      </c>
      <c r="T44" s="642"/>
      <c r="U44" s="567"/>
      <c r="V44" s="2619">
        <f>IF(採点Q1!F327="対象外",0,採点Q1!F327)</f>
        <v>3</v>
      </c>
      <c r="W44" s="2620">
        <f>採点Q1!M327</f>
        <v>3</v>
      </c>
      <c r="Y44" s="2975">
        <f t="shared" si="26"/>
        <v>3</v>
      </c>
      <c r="Z44" s="2611" t="e">
        <f>重み!D44</f>
        <v>#DIV/0!</v>
      </c>
      <c r="AA44" s="2975">
        <f t="shared" si="27"/>
        <v>3</v>
      </c>
      <c r="AB44" s="2611" t="e">
        <f>重み!E44</f>
        <v>#DIV/0!</v>
      </c>
      <c r="AC44" s="2610"/>
      <c r="AD44" s="567"/>
      <c r="AE44" s="596" t="e">
        <f>重み!M44</f>
        <v>#DIV/0!</v>
      </c>
      <c r="AF44" s="581"/>
      <c r="AG44" s="596" t="e">
        <f>重み!N44</f>
        <v>#DIV/0!</v>
      </c>
      <c r="AW44"/>
      <c r="AX44"/>
      <c r="AY44"/>
    </row>
    <row r="45" spans="2:61" s="2624" customFormat="1" ht="14.25" hidden="1" customHeight="1">
      <c r="B45" s="2658"/>
      <c r="C45" s="2659"/>
      <c r="D45" s="2672">
        <v>1</v>
      </c>
      <c r="E45" s="2673" t="s">
        <v>991</v>
      </c>
      <c r="F45" s="2651"/>
      <c r="G45" s="2656" t="s">
        <v>3224</v>
      </c>
      <c r="H45" s="2574"/>
      <c r="I45" s="3096"/>
      <c r="J45" s="3097"/>
      <c r="K45" s="3097"/>
      <c r="L45" s="3097"/>
      <c r="M45" s="3098"/>
      <c r="N45" s="2954">
        <v>0</v>
      </c>
      <c r="O45" s="2618">
        <f t="shared" si="5"/>
        <v>0</v>
      </c>
      <c r="P45" s="2652" t="e">
        <f t="shared" ref="P45:P79" si="28">Z45</f>
        <v>#DIV/0!</v>
      </c>
      <c r="Q45" s="2949"/>
      <c r="R45" s="2618">
        <f t="shared" si="6"/>
        <v>0</v>
      </c>
      <c r="S45" s="2652" t="e">
        <f t="shared" ref="S45:S79" si="29">AB45</f>
        <v>#DIV/0!</v>
      </c>
      <c r="T45" s="2653"/>
      <c r="U45" s="2607"/>
      <c r="V45" s="2619"/>
      <c r="W45" s="2620"/>
      <c r="Y45" s="1"/>
      <c r="Z45" s="2611" t="e">
        <f>重み!D45</f>
        <v>#DIV/0!</v>
      </c>
      <c r="AA45" s="1"/>
      <c r="AB45" s="2611" t="e">
        <f>重み!E45</f>
        <v>#DIV/0!</v>
      </c>
      <c r="AC45" s="2610"/>
      <c r="AD45" s="2607"/>
      <c r="AE45" s="2609" t="e">
        <f>重み!M45</f>
        <v>#DIV/0!</v>
      </c>
      <c r="AF45" s="2608"/>
      <c r="AG45" s="2609" t="e">
        <f>重み!N45</f>
        <v>#DIV/0!</v>
      </c>
    </row>
    <row r="46" spans="2:61" s="2624" customFormat="1" ht="14.25" hidden="1" customHeight="1">
      <c r="B46" s="2658"/>
      <c r="C46" s="2649"/>
      <c r="D46" s="2672">
        <v>2</v>
      </c>
      <c r="E46" s="2673" t="s">
        <v>992</v>
      </c>
      <c r="F46" s="2651"/>
      <c r="G46" s="2656" t="s">
        <v>3224</v>
      </c>
      <c r="H46" s="2574"/>
      <c r="I46" s="3096"/>
      <c r="J46" s="3097"/>
      <c r="K46" s="3097"/>
      <c r="L46" s="3097"/>
      <c r="M46" s="3098"/>
      <c r="N46" s="2954">
        <v>0</v>
      </c>
      <c r="O46" s="2618">
        <f t="shared" si="5"/>
        <v>0</v>
      </c>
      <c r="P46" s="2652" t="e">
        <f t="shared" si="28"/>
        <v>#DIV/0!</v>
      </c>
      <c r="Q46" s="2949"/>
      <c r="R46" s="2618">
        <f t="shared" si="6"/>
        <v>0</v>
      </c>
      <c r="S46" s="2652" t="e">
        <f t="shared" si="29"/>
        <v>#DIV/0!</v>
      </c>
      <c r="T46" s="2653"/>
      <c r="U46" s="2607"/>
      <c r="V46" s="2619"/>
      <c r="W46" s="2620"/>
      <c r="Y46" s="1"/>
      <c r="Z46" s="2611" t="e">
        <f>重み!D46</f>
        <v>#DIV/0!</v>
      </c>
      <c r="AA46" s="1"/>
      <c r="AB46" s="2611" t="e">
        <f>重み!E46</f>
        <v>#DIV/0!</v>
      </c>
      <c r="AC46" s="2610"/>
      <c r="AD46" s="2607"/>
      <c r="AE46" s="2609" t="e">
        <f>重み!M46</f>
        <v>#DIV/0!</v>
      </c>
      <c r="AF46" s="2608"/>
      <c r="AG46" s="2609" t="e">
        <f>重み!N46</f>
        <v>#DIV/0!</v>
      </c>
    </row>
    <row r="47" spans="2:61" ht="14.25" customHeight="1" thickBot="1">
      <c r="B47" s="700"/>
      <c r="C47" s="669">
        <v>3.4</v>
      </c>
      <c r="D47" s="3099" t="s">
        <v>993</v>
      </c>
      <c r="E47" s="3100"/>
      <c r="F47" s="685"/>
      <c r="G47" s="2583" t="s">
        <v>3224</v>
      </c>
      <c r="H47" s="2586"/>
      <c r="I47" s="3096"/>
      <c r="J47" s="3097"/>
      <c r="K47" s="3097"/>
      <c r="L47" s="3097"/>
      <c r="M47" s="3098"/>
      <c r="N47" s="2950">
        <v>3</v>
      </c>
      <c r="O47" s="670">
        <f t="shared" si="5"/>
        <v>3</v>
      </c>
      <c r="P47" s="659" t="e">
        <f t="shared" si="28"/>
        <v>#DIV/0!</v>
      </c>
      <c r="Q47" s="2950"/>
      <c r="R47" s="670">
        <f t="shared" si="6"/>
        <v>3</v>
      </c>
      <c r="S47" s="659" t="e">
        <f t="shared" si="29"/>
        <v>#DIV/0!</v>
      </c>
      <c r="T47" s="642"/>
      <c r="U47" s="567"/>
      <c r="V47" s="2616">
        <f>IF(採点Q1!F345="対象外",0,採点Q1!F345)</f>
        <v>3</v>
      </c>
      <c r="W47" s="2617">
        <f>採点Q1!K345</f>
        <v>3</v>
      </c>
      <c r="Y47" s="2975">
        <f t="shared" si="26"/>
        <v>3</v>
      </c>
      <c r="Z47" s="2611" t="e">
        <f>重み!D47</f>
        <v>#DIV/0!</v>
      </c>
      <c r="AA47" s="2975">
        <f t="shared" si="27"/>
        <v>3</v>
      </c>
      <c r="AB47" s="2611" t="e">
        <f>重み!E47</f>
        <v>#DIV/0!</v>
      </c>
      <c r="AC47" s="2610"/>
      <c r="AD47" s="567"/>
      <c r="AE47" s="596" t="e">
        <f>重み!M47</f>
        <v>#DIV/0!</v>
      </c>
      <c r="AF47" s="581"/>
      <c r="AG47" s="596" t="e">
        <f>重み!N47</f>
        <v>#DIV/0!</v>
      </c>
      <c r="AW47"/>
      <c r="AX47"/>
      <c r="AY47"/>
    </row>
    <row r="48" spans="2:61" ht="14.25" customHeight="1">
      <c r="B48" s="726">
        <v>4</v>
      </c>
      <c r="C48" s="671" t="s">
        <v>994</v>
      </c>
      <c r="D48" s="740"/>
      <c r="E48" s="679"/>
      <c r="F48" s="680"/>
      <c r="G48" s="2585" t="s">
        <v>3225</v>
      </c>
      <c r="H48" s="2582"/>
      <c r="I48" s="650"/>
      <c r="J48" s="651"/>
      <c r="K48" s="651"/>
      <c r="L48" s="651"/>
      <c r="M48" s="3010"/>
      <c r="N48" s="674" t="e">
        <f t="shared" ref="N48:N49" si="30">ROUNDDOWN(Y48,1)</f>
        <v>#DIV/0!</v>
      </c>
      <c r="O48" s="674" t="e">
        <f t="shared" si="5"/>
        <v>#DIV/0!</v>
      </c>
      <c r="P48" s="675" t="e">
        <f t="shared" si="28"/>
        <v>#DIV/0!</v>
      </c>
      <c r="Q48" s="639" t="e">
        <f t="shared" ref="Q48:Q49" si="31">ROUNDDOWN(AA48,1)</f>
        <v>#DIV/0!</v>
      </c>
      <c r="R48" s="639" t="e">
        <f t="shared" si="6"/>
        <v>#DIV/0!</v>
      </c>
      <c r="S48" s="676" t="e">
        <f t="shared" si="29"/>
        <v>#DIV/0!</v>
      </c>
      <c r="T48" s="677" t="e">
        <f>ROUNDDOWN(AC48,1)</f>
        <v>#DIV/0!</v>
      </c>
      <c r="U48" s="567"/>
      <c r="V48" s="2986"/>
      <c r="W48" s="2986"/>
      <c r="Y48" s="2978" t="e">
        <f>Y49*Z49+Y54*Z54+Y59*Z59</f>
        <v>#DIV/0!</v>
      </c>
      <c r="Z48" s="2611" t="e">
        <f>重み!D48</f>
        <v>#DIV/0!</v>
      </c>
      <c r="AA48" s="2978" t="e">
        <f>AA49*AB49+AA54*AB54+AA59*AB59</f>
        <v>#DIV/0!</v>
      </c>
      <c r="AB48" s="644" t="e">
        <f>SUM(AB49,AB54,AB59)</f>
        <v>#DIV/0!</v>
      </c>
      <c r="AC48" s="617" t="e">
        <f>IF(AA48=0,Y48,IF(Y48=0,AA48,Y48*AE$6+AA48*AG$6))</f>
        <v>#DIV/0!</v>
      </c>
      <c r="AD48" s="567"/>
      <c r="AE48" s="596" t="e">
        <f>重み!M48</f>
        <v>#DIV/0!</v>
      </c>
      <c r="AF48" s="581"/>
      <c r="AG48" s="644" t="e">
        <f>SUM(AG49,AG54,AG59)</f>
        <v>#DIV/0!</v>
      </c>
      <c r="AI48" s="2358">
        <v>3</v>
      </c>
      <c r="AJ48" s="2358"/>
      <c r="AK48" s="2358"/>
      <c r="AL48" s="2358"/>
      <c r="AM48" s="2358"/>
      <c r="AN48" s="2358">
        <v>0</v>
      </c>
      <c r="AO48" s="2358"/>
      <c r="AP48" s="2358"/>
      <c r="AQ48" s="2358"/>
      <c r="AR48" s="2358"/>
      <c r="AS48" s="2355" t="e">
        <f t="shared" si="13"/>
        <v>#DIV/0!</v>
      </c>
      <c r="AT48" s="810" t="e">
        <f>P48</f>
        <v>#DIV/0!</v>
      </c>
      <c r="AU48" s="677"/>
      <c r="AV48" s="2329"/>
      <c r="AW48" s="2354" t="e">
        <f>IF(AY48=0,0,SUMPRODUCT($AZ$7:$BI$7,AI48:AR48)/AY48)</f>
        <v>#DIV/0!</v>
      </c>
      <c r="AY48" s="2353" t="e">
        <f>SUMPRODUCT($AZ$7:$BI$7,AZ48:BI48)</f>
        <v>#DIV/0!</v>
      </c>
      <c r="AZ48" s="2339">
        <f t="shared" ref="AZ48:BI48" si="32">IF(AI48&gt;0,1,0)</f>
        <v>1</v>
      </c>
      <c r="BA48" s="2339">
        <f t="shared" si="32"/>
        <v>0</v>
      </c>
      <c r="BB48" s="2339">
        <f t="shared" si="32"/>
        <v>0</v>
      </c>
      <c r="BC48" s="2339">
        <f t="shared" si="32"/>
        <v>0</v>
      </c>
      <c r="BD48" s="2339">
        <f t="shared" si="32"/>
        <v>0</v>
      </c>
      <c r="BE48" s="2339">
        <f t="shared" si="32"/>
        <v>0</v>
      </c>
      <c r="BF48" s="2339">
        <f t="shared" si="32"/>
        <v>0</v>
      </c>
      <c r="BG48" s="2339">
        <f t="shared" si="32"/>
        <v>0</v>
      </c>
      <c r="BH48" s="2339">
        <f t="shared" si="32"/>
        <v>0</v>
      </c>
      <c r="BI48" s="2339">
        <f t="shared" si="32"/>
        <v>0</v>
      </c>
    </row>
    <row r="49" spans="2:61" ht="14.25" customHeight="1" thickBot="1">
      <c r="B49" s="645"/>
      <c r="C49" s="646">
        <v>4.0999999999999996</v>
      </c>
      <c r="D49" s="678" t="s">
        <v>995</v>
      </c>
      <c r="E49" s="678"/>
      <c r="F49" s="699"/>
      <c r="G49" s="2597"/>
      <c r="H49" s="2597"/>
      <c r="I49" s="650"/>
      <c r="J49" s="651"/>
      <c r="K49" s="651"/>
      <c r="L49" s="651"/>
      <c r="M49" s="3010"/>
      <c r="N49" s="695" t="e">
        <f t="shared" si="30"/>
        <v>#DIV/0!</v>
      </c>
      <c r="O49" s="695" t="e">
        <f t="shared" si="5"/>
        <v>#DIV/0!</v>
      </c>
      <c r="P49" s="640" t="e">
        <f t="shared" si="28"/>
        <v>#DIV/0!</v>
      </c>
      <c r="Q49" s="696" t="e">
        <f t="shared" si="31"/>
        <v>#DIV/0!</v>
      </c>
      <c r="R49" s="2956" t="e">
        <f t="shared" si="6"/>
        <v>#DIV/0!</v>
      </c>
      <c r="S49" s="641" t="e">
        <f t="shared" si="29"/>
        <v>#DIV/0!</v>
      </c>
      <c r="T49" s="642"/>
      <c r="U49" s="567"/>
      <c r="V49" s="2987"/>
      <c r="W49" s="2987"/>
      <c r="Y49" s="643" t="e">
        <f>SUMPRODUCT(Y50:Y53,Z50:Z53)</f>
        <v>#DIV/0!</v>
      </c>
      <c r="Z49" s="2611" t="e">
        <f>重み!D49</f>
        <v>#DIV/0!</v>
      </c>
      <c r="AA49" s="643" t="e">
        <f>SUMPRODUCT(AA50:AA53,AB50:AB53)</f>
        <v>#DIV/0!</v>
      </c>
      <c r="AB49" s="2611" t="e">
        <f>重み!E49</f>
        <v>#DIV/0!</v>
      </c>
      <c r="AC49" s="617"/>
      <c r="AD49" s="567"/>
      <c r="AE49" s="596" t="e">
        <f>重み!M49</f>
        <v>#DIV/0!</v>
      </c>
      <c r="AF49" s="581"/>
      <c r="AG49" s="596" t="e">
        <f>重み!N49</f>
        <v>#DIV/0!</v>
      </c>
      <c r="AW49"/>
      <c r="AX49"/>
      <c r="AY49"/>
    </row>
    <row r="50" spans="2:61" ht="14.25" customHeight="1" thickBot="1">
      <c r="B50" s="645"/>
      <c r="C50" s="684"/>
      <c r="D50" s="656">
        <v>1</v>
      </c>
      <c r="E50" s="648" t="s">
        <v>996</v>
      </c>
      <c r="F50" s="685"/>
      <c r="G50" s="2583" t="s">
        <v>3226</v>
      </c>
      <c r="H50" s="2586"/>
      <c r="I50" s="3096"/>
      <c r="J50" s="3097"/>
      <c r="K50" s="3097"/>
      <c r="L50" s="3097"/>
      <c r="M50" s="3098"/>
      <c r="N50" s="2948">
        <v>3</v>
      </c>
      <c r="O50" s="658">
        <f t="shared" si="5"/>
        <v>3</v>
      </c>
      <c r="P50" s="659" t="e">
        <f t="shared" si="28"/>
        <v>#DIV/0!</v>
      </c>
      <c r="Q50" s="2948"/>
      <c r="R50" s="658">
        <f t="shared" si="6"/>
        <v>3</v>
      </c>
      <c r="S50" s="659" t="e">
        <f t="shared" si="29"/>
        <v>#DIV/0!</v>
      </c>
      <c r="T50" s="642"/>
      <c r="U50" s="567"/>
      <c r="V50" s="2613">
        <f>IF(採点Q1!F363="対象外",0,採点Q1!F363)</f>
        <v>3</v>
      </c>
      <c r="W50" s="2614">
        <f>採点Q1!K363</f>
        <v>3</v>
      </c>
      <c r="Y50" s="660">
        <f>IF($Y$3=4,N50,V50)</f>
        <v>3</v>
      </c>
      <c r="Z50" s="2611" t="e">
        <f>重み!D50</f>
        <v>#DIV/0!</v>
      </c>
      <c r="AA50" s="660">
        <f>IF($Y$3=4,Q50,W50)</f>
        <v>3</v>
      </c>
      <c r="AB50" s="2611" t="e">
        <f>重み!E50</f>
        <v>#DIV/0!</v>
      </c>
      <c r="AC50" s="2610"/>
      <c r="AD50" s="567"/>
      <c r="AE50" s="596" t="e">
        <f>重み!M50</f>
        <v>#DIV/0!</v>
      </c>
      <c r="AF50" s="581"/>
      <c r="AG50" s="596" t="e">
        <f>重み!N50</f>
        <v>#DIV/0!</v>
      </c>
      <c r="AW50"/>
      <c r="AX50"/>
      <c r="AY50"/>
    </row>
    <row r="51" spans="2:61" ht="14.25" hidden="1" customHeight="1">
      <c r="B51" s="645"/>
      <c r="C51" s="684"/>
      <c r="D51" s="2639">
        <v>2</v>
      </c>
      <c r="E51" s="2640" t="s">
        <v>997</v>
      </c>
      <c r="F51" s="2641"/>
      <c r="G51" s="2580"/>
      <c r="H51" s="2586"/>
      <c r="I51" s="3096"/>
      <c r="J51" s="3097"/>
      <c r="K51" s="3097"/>
      <c r="L51" s="3097"/>
      <c r="M51" s="3098"/>
      <c r="N51" s="2954">
        <v>0</v>
      </c>
      <c r="O51" s="2618">
        <f t="shared" si="5"/>
        <v>0</v>
      </c>
      <c r="P51" s="659" t="e">
        <f t="shared" si="28"/>
        <v>#DIV/0!</v>
      </c>
      <c r="Q51" s="2618"/>
      <c r="R51" s="2618">
        <f t="shared" si="6"/>
        <v>0</v>
      </c>
      <c r="S51" s="659" t="e">
        <f t="shared" si="29"/>
        <v>#DIV/0!</v>
      </c>
      <c r="T51" s="642"/>
      <c r="U51" s="567"/>
      <c r="V51" s="2619">
        <f>採点Q1!F372</f>
        <v>0</v>
      </c>
      <c r="W51" s="2620">
        <f>採点Q1!K372</f>
        <v>0</v>
      </c>
      <c r="Y51" s="660">
        <f>IF($Y$3=4,N51,V51)</f>
        <v>0</v>
      </c>
      <c r="Z51" s="2611" t="e">
        <f>重み!D51</f>
        <v>#DIV/0!</v>
      </c>
      <c r="AA51" s="660">
        <f>IF($Y$3=4,Q51,W51)</f>
        <v>0</v>
      </c>
      <c r="AB51" s="2611" t="e">
        <f>重み!E51</f>
        <v>#DIV/0!</v>
      </c>
      <c r="AC51" s="2610"/>
      <c r="AD51" s="567"/>
      <c r="AE51" s="596" t="e">
        <f>重み!M51</f>
        <v>#DIV/0!</v>
      </c>
      <c r="AF51" s="581"/>
      <c r="AG51" s="596" t="e">
        <f>重み!N51</f>
        <v>#DIV/0!</v>
      </c>
      <c r="AW51"/>
      <c r="AX51"/>
      <c r="AY51"/>
    </row>
    <row r="52" spans="2:61" s="2624" customFormat="1" ht="14.25" hidden="1" customHeight="1">
      <c r="B52" s="2648"/>
      <c r="C52" s="2655"/>
      <c r="D52" s="2672">
        <v>3</v>
      </c>
      <c r="E52" s="2673" t="s">
        <v>998</v>
      </c>
      <c r="F52" s="2651"/>
      <c r="G52" s="2656"/>
      <c r="H52" s="2575"/>
      <c r="I52" s="3096"/>
      <c r="J52" s="3097"/>
      <c r="K52" s="3097"/>
      <c r="L52" s="3097"/>
      <c r="M52" s="3098"/>
      <c r="N52" s="2954">
        <v>0</v>
      </c>
      <c r="O52" s="2618">
        <f t="shared" si="5"/>
        <v>0</v>
      </c>
      <c r="P52" s="2652" t="e">
        <f t="shared" si="28"/>
        <v>#DIV/0!</v>
      </c>
      <c r="Q52" s="2618"/>
      <c r="R52" s="2618">
        <f t="shared" si="6"/>
        <v>0</v>
      </c>
      <c r="S52" s="2652" t="e">
        <f t="shared" si="29"/>
        <v>#DIV/0!</v>
      </c>
      <c r="T52" s="2653"/>
      <c r="U52" s="2607"/>
      <c r="V52" s="2619">
        <f>IF(採点Q1!F381="対象外",0,採点Q1!F381)</f>
        <v>0</v>
      </c>
      <c r="W52" s="2620">
        <f>採点Q1!K381</f>
        <v>0</v>
      </c>
      <c r="Y52" s="1"/>
      <c r="Z52" s="2611" t="e">
        <f>重み!D52</f>
        <v>#DIV/0!</v>
      </c>
      <c r="AA52" s="1"/>
      <c r="AB52" s="2611" t="e">
        <f>重み!E52</f>
        <v>#DIV/0!</v>
      </c>
      <c r="AC52" s="2610"/>
      <c r="AD52" s="2607"/>
      <c r="AE52" s="2609" t="e">
        <f>重み!M52</f>
        <v>#DIV/0!</v>
      </c>
      <c r="AF52" s="2608"/>
      <c r="AG52" s="2609" t="e">
        <f>重み!N52</f>
        <v>#DIV/0!</v>
      </c>
    </row>
    <row r="53" spans="2:61" s="2624" customFormat="1" ht="14.25" hidden="1" customHeight="1" thickBot="1">
      <c r="B53" s="2648"/>
      <c r="C53" s="2660"/>
      <c r="D53" s="2672">
        <v>4</v>
      </c>
      <c r="E53" s="2673" t="s">
        <v>999</v>
      </c>
      <c r="F53" s="2651"/>
      <c r="G53" s="2656"/>
      <c r="H53" s="2575"/>
      <c r="I53" s="3096"/>
      <c r="J53" s="3097"/>
      <c r="K53" s="3097"/>
      <c r="L53" s="3097"/>
      <c r="M53" s="3098"/>
      <c r="N53" s="2955">
        <v>0</v>
      </c>
      <c r="O53" s="2615">
        <f t="shared" si="5"/>
        <v>0</v>
      </c>
      <c r="P53" s="2652" t="e">
        <f t="shared" si="28"/>
        <v>#DIV/0!</v>
      </c>
      <c r="Q53" s="2615"/>
      <c r="R53" s="2615">
        <f t="shared" si="6"/>
        <v>0</v>
      </c>
      <c r="S53" s="2652" t="e">
        <f t="shared" si="29"/>
        <v>#DIV/0!</v>
      </c>
      <c r="T53" s="2653"/>
      <c r="U53" s="2607"/>
      <c r="V53" s="2616">
        <f>IF(採点Q1!F390="対象外",0,採点Q1!F390)</f>
        <v>0</v>
      </c>
      <c r="W53" s="2617">
        <f>採点Q1!K390</f>
        <v>0</v>
      </c>
      <c r="Y53" s="1"/>
      <c r="Z53" s="2611" t="e">
        <f>重み!D53</f>
        <v>#DIV/0!</v>
      </c>
      <c r="AA53" s="1"/>
      <c r="AB53" s="2611" t="e">
        <f>重み!E53</f>
        <v>#DIV/0!</v>
      </c>
      <c r="AC53" s="2610"/>
      <c r="AD53" s="2607"/>
      <c r="AE53" s="2609" t="e">
        <f>重み!M53</f>
        <v>#DIV/0!</v>
      </c>
      <c r="AF53" s="2608"/>
      <c r="AG53" s="2609" t="e">
        <f>重み!N53</f>
        <v>#DIV/0!</v>
      </c>
    </row>
    <row r="54" spans="2:61" ht="14.25" customHeight="1" thickBot="1">
      <c r="B54" s="694"/>
      <c r="C54" s="646">
        <v>4.2</v>
      </c>
      <c r="D54" s="678" t="s">
        <v>1000</v>
      </c>
      <c r="E54" s="679"/>
      <c r="F54" s="685"/>
      <c r="G54" s="2579"/>
      <c r="H54" s="2597"/>
      <c r="I54" s="636"/>
      <c r="J54" s="637"/>
      <c r="K54" s="637"/>
      <c r="L54" s="637"/>
      <c r="M54" s="638"/>
      <c r="N54" s="3015" t="e">
        <f>ROUNDDOWN(Y54,1)</f>
        <v>#DIV/0!</v>
      </c>
      <c r="O54" s="2230" t="e">
        <f t="shared" si="5"/>
        <v>#DIV/0!</v>
      </c>
      <c r="P54" s="640" t="e">
        <f>Z54</f>
        <v>#DIV/0!</v>
      </c>
      <c r="Q54" s="2230" t="e">
        <f>ROUNDDOWN(AA54,1)</f>
        <v>#DIV/0!</v>
      </c>
      <c r="R54" s="2230" t="e">
        <f t="shared" si="6"/>
        <v>#DIV/0!</v>
      </c>
      <c r="S54" s="641" t="e">
        <f t="shared" si="29"/>
        <v>#DIV/0!</v>
      </c>
      <c r="T54" s="642"/>
      <c r="U54" s="567"/>
      <c r="V54" s="2985"/>
      <c r="W54" s="2985"/>
      <c r="Y54" s="643" t="e">
        <f>SUMPRODUCT(Y55:Y58,Z55:Z58)</f>
        <v>#DIV/0!</v>
      </c>
      <c r="Z54" s="2611" t="e">
        <f>重み!D54</f>
        <v>#DIV/0!</v>
      </c>
      <c r="AA54" s="643" t="e">
        <f>SUMPRODUCT(AA55:AA58,AB55:AB58)</f>
        <v>#DIV/0!</v>
      </c>
      <c r="AB54" s="2611" t="e">
        <f>重み!E54</f>
        <v>#DIV/0!</v>
      </c>
      <c r="AC54" s="617"/>
      <c r="AD54" s="567"/>
      <c r="AE54" s="596" t="e">
        <f>重み!M54</f>
        <v>#DIV/0!</v>
      </c>
      <c r="AF54" s="581"/>
      <c r="AG54" s="596" t="e">
        <f>重み!N54</f>
        <v>#DIV/0!</v>
      </c>
      <c r="AW54"/>
      <c r="AX54"/>
      <c r="AY54"/>
    </row>
    <row r="55" spans="2:61" ht="14.25" customHeight="1">
      <c r="B55" s="694"/>
      <c r="C55" s="655"/>
      <c r="D55" s="656">
        <v>1</v>
      </c>
      <c r="E55" s="648" t="s">
        <v>1001</v>
      </c>
      <c r="F55" s="701"/>
      <c r="G55" s="2583" t="s">
        <v>3227</v>
      </c>
      <c r="H55" s="2586"/>
      <c r="I55" s="3096"/>
      <c r="J55" s="3097"/>
      <c r="K55" s="3097"/>
      <c r="L55" s="3097"/>
      <c r="M55" s="3098"/>
      <c r="N55" s="2953">
        <v>3</v>
      </c>
      <c r="O55" s="658">
        <f t="shared" si="5"/>
        <v>3</v>
      </c>
      <c r="P55" s="659" t="e">
        <f t="shared" si="28"/>
        <v>#DIV/0!</v>
      </c>
      <c r="Q55" s="2948"/>
      <c r="R55" s="658">
        <f t="shared" si="6"/>
        <v>3</v>
      </c>
      <c r="S55" s="659" t="e">
        <f t="shared" si="29"/>
        <v>#DIV/0!</v>
      </c>
      <c r="T55" s="642"/>
      <c r="U55" s="567"/>
      <c r="V55" s="2613">
        <f>IF(採点Q1!F400="対象外",0,採点Q1!F400)</f>
        <v>3</v>
      </c>
      <c r="W55" s="2614">
        <f>採点Q1!K400</f>
        <v>3</v>
      </c>
      <c r="Y55" s="660">
        <f t="shared" ref="Y55:Y57" si="33">IF($Y$3=4,N55,V55)</f>
        <v>3</v>
      </c>
      <c r="Z55" s="2611" t="e">
        <f>重み!D55</f>
        <v>#DIV/0!</v>
      </c>
      <c r="AA55" s="660">
        <f t="shared" ref="AA55:AA57" si="34">IF($Y$3=4,Q55,W55)</f>
        <v>3</v>
      </c>
      <c r="AB55" s="2611" t="e">
        <f>重み!E55</f>
        <v>#DIV/0!</v>
      </c>
      <c r="AC55" s="2610"/>
      <c r="AD55" s="567"/>
      <c r="AE55" s="596" t="e">
        <f>重み!M55</f>
        <v>#DIV/0!</v>
      </c>
      <c r="AF55" s="581"/>
      <c r="AG55" s="596" t="e">
        <f>重み!N55</f>
        <v>#DIV/0!</v>
      </c>
      <c r="AW55"/>
      <c r="AX55"/>
      <c r="AY55"/>
    </row>
    <row r="56" spans="2:61" ht="14.25" customHeight="1">
      <c r="B56" s="694"/>
      <c r="C56" s="655"/>
      <c r="D56" s="656">
        <v>2</v>
      </c>
      <c r="E56" s="648" t="s">
        <v>2362</v>
      </c>
      <c r="F56" s="685"/>
      <c r="G56" s="2583" t="s">
        <v>3227</v>
      </c>
      <c r="H56" s="2597"/>
      <c r="I56" s="3096"/>
      <c r="J56" s="3097"/>
      <c r="K56" s="3097"/>
      <c r="L56" s="3097"/>
      <c r="M56" s="3098"/>
      <c r="N56" s="2954">
        <v>3</v>
      </c>
      <c r="O56" s="667">
        <f t="shared" si="5"/>
        <v>3</v>
      </c>
      <c r="P56" s="659" t="e">
        <f t="shared" si="28"/>
        <v>#DIV/0!</v>
      </c>
      <c r="Q56" s="2949"/>
      <c r="R56" s="667">
        <f t="shared" si="6"/>
        <v>3</v>
      </c>
      <c r="S56" s="659" t="e">
        <f t="shared" si="29"/>
        <v>#DIV/0!</v>
      </c>
      <c r="T56" s="642"/>
      <c r="U56" s="567"/>
      <c r="V56" s="2619">
        <f>IF(採点Q1!F409="対象外",0,採点Q1!F409)</f>
        <v>3</v>
      </c>
      <c r="W56" s="2620">
        <f>採点Q1!K409</f>
        <v>3</v>
      </c>
      <c r="Y56" s="660">
        <f t="shared" si="33"/>
        <v>3</v>
      </c>
      <c r="Z56" s="2611" t="e">
        <f>重み!D56</f>
        <v>#DIV/0!</v>
      </c>
      <c r="AA56" s="660">
        <f t="shared" si="34"/>
        <v>3</v>
      </c>
      <c r="AB56" s="2611" t="e">
        <f>重み!E56</f>
        <v>#DIV/0!</v>
      </c>
      <c r="AC56" s="2610"/>
      <c r="AD56" s="567"/>
      <c r="AE56" s="596" t="e">
        <f>重み!M56</f>
        <v>#DIV/0!</v>
      </c>
      <c r="AF56" s="581"/>
      <c r="AG56" s="596" t="e">
        <f>重み!N56</f>
        <v>#DIV/0!</v>
      </c>
      <c r="AW56"/>
      <c r="AX56"/>
      <c r="AY56"/>
    </row>
    <row r="57" spans="2:61" ht="14.25" customHeight="1" thickBot="1">
      <c r="B57" s="694"/>
      <c r="C57" s="655"/>
      <c r="D57" s="656">
        <v>3</v>
      </c>
      <c r="E57" s="648" t="s">
        <v>2363</v>
      </c>
      <c r="F57" s="685"/>
      <c r="G57" s="2583" t="s">
        <v>3227</v>
      </c>
      <c r="H57" s="2586"/>
      <c r="I57" s="3096"/>
      <c r="J57" s="3097"/>
      <c r="K57" s="3097"/>
      <c r="L57" s="3097"/>
      <c r="M57" s="3098"/>
      <c r="N57" s="2955">
        <v>3</v>
      </c>
      <c r="O57" s="663">
        <f t="shared" si="5"/>
        <v>3</v>
      </c>
      <c r="P57" s="659" t="e">
        <f t="shared" si="28"/>
        <v>#DIV/0!</v>
      </c>
      <c r="Q57" s="2952"/>
      <c r="R57" s="663">
        <f t="shared" si="6"/>
        <v>3</v>
      </c>
      <c r="S57" s="659" t="e">
        <f t="shared" si="29"/>
        <v>#DIV/0!</v>
      </c>
      <c r="T57" s="642"/>
      <c r="U57" s="567"/>
      <c r="V57" s="2619">
        <f>IF(採点Q1!F418="対象外",0,採点Q1!F418)</f>
        <v>3</v>
      </c>
      <c r="W57" s="2620">
        <f>採点Q1!K418</f>
        <v>3</v>
      </c>
      <c r="Y57" s="660">
        <f t="shared" si="33"/>
        <v>3</v>
      </c>
      <c r="Z57" s="2611" t="e">
        <f>重み!D57</f>
        <v>#DIV/0!</v>
      </c>
      <c r="AA57" s="660">
        <f t="shared" si="34"/>
        <v>3</v>
      </c>
      <c r="AB57" s="2611" t="e">
        <f>重み!E57</f>
        <v>#DIV/0!</v>
      </c>
      <c r="AC57" s="2610"/>
      <c r="AD57" s="567"/>
      <c r="AE57" s="596" t="e">
        <f>重み!M57</f>
        <v>#DIV/0!</v>
      </c>
      <c r="AF57" s="581"/>
      <c r="AG57" s="596" t="e">
        <f>重み!N57</f>
        <v>#DIV/0!</v>
      </c>
      <c r="AW57"/>
      <c r="AX57"/>
      <c r="AY57"/>
    </row>
    <row r="58" spans="2:61" s="2624" customFormat="1" ht="14.25" hidden="1" customHeight="1" thickBot="1">
      <c r="B58" s="2657"/>
      <c r="C58" s="2649"/>
      <c r="D58" s="2672">
        <v>4</v>
      </c>
      <c r="E58" s="2673" t="s">
        <v>2364</v>
      </c>
      <c r="F58" s="2651"/>
      <c r="G58" s="2656"/>
      <c r="H58" s="2575"/>
      <c r="I58" s="3096"/>
      <c r="J58" s="3097"/>
      <c r="K58" s="3097"/>
      <c r="L58" s="3097"/>
      <c r="M58" s="3098"/>
      <c r="N58" s="2955">
        <v>0</v>
      </c>
      <c r="O58" s="2615">
        <f t="shared" si="5"/>
        <v>0</v>
      </c>
      <c r="P58" s="2652" t="e">
        <f t="shared" si="28"/>
        <v>#DIV/0!</v>
      </c>
      <c r="Q58" s="2615"/>
      <c r="R58" s="2615">
        <f t="shared" si="6"/>
        <v>0</v>
      </c>
      <c r="S58" s="2652" t="e">
        <f t="shared" si="29"/>
        <v>#DIV/0!</v>
      </c>
      <c r="T58" s="2653"/>
      <c r="U58" s="2607"/>
      <c r="V58" s="2616">
        <f>IF(採点Q1!F427="対象外",0,採点Q1!F427)</f>
        <v>0</v>
      </c>
      <c r="W58" s="2617">
        <f>採点Q1!K427</f>
        <v>0</v>
      </c>
      <c r="X58" s="2687"/>
      <c r="Y58" s="1"/>
      <c r="Z58" s="2611" t="e">
        <f>重み!D58</f>
        <v>#DIV/0!</v>
      </c>
      <c r="AA58" s="1"/>
      <c r="AB58" s="2611" t="e">
        <f>重み!E58</f>
        <v>#DIV/0!</v>
      </c>
      <c r="AC58" s="2610"/>
      <c r="AD58" s="2607"/>
      <c r="AE58" s="2609" t="e">
        <f>重み!M58</f>
        <v>#DIV/0!</v>
      </c>
      <c r="AF58" s="2608"/>
      <c r="AG58" s="2609" t="e">
        <f>重み!N58</f>
        <v>#DIV/0!</v>
      </c>
      <c r="AH58" s="2687"/>
    </row>
    <row r="59" spans="2:61" ht="14.25" customHeight="1" thickBot="1">
      <c r="B59" s="694"/>
      <c r="C59" s="646">
        <v>4.3</v>
      </c>
      <c r="D59" s="678" t="s">
        <v>2365</v>
      </c>
      <c r="E59" s="679"/>
      <c r="F59" s="680"/>
      <c r="G59" s="2581"/>
      <c r="H59" s="2597"/>
      <c r="I59" s="636"/>
      <c r="J59" s="637"/>
      <c r="K59" s="637"/>
      <c r="L59" s="637"/>
      <c r="M59" s="638"/>
      <c r="N59" s="3015" t="e">
        <f>ROUNDDOWN(Y59,1)</f>
        <v>#DIV/0!</v>
      </c>
      <c r="O59" s="695" t="e">
        <f t="shared" si="5"/>
        <v>#DIV/0!</v>
      </c>
      <c r="P59" s="640" t="e">
        <f>Z59</f>
        <v>#DIV/0!</v>
      </c>
      <c r="Q59" s="696" t="e">
        <f>ROUNDDOWN(AA59,1)</f>
        <v>#DIV/0!</v>
      </c>
      <c r="R59" s="2230" t="e">
        <f t="shared" si="6"/>
        <v>#DIV/0!</v>
      </c>
      <c r="S59" s="641" t="e">
        <f t="shared" si="29"/>
        <v>#DIV/0!</v>
      </c>
      <c r="T59" s="642"/>
      <c r="U59" s="567"/>
      <c r="V59" s="2985"/>
      <c r="W59" s="2986"/>
      <c r="X59" s="2687"/>
      <c r="Y59" s="643" t="e">
        <f>SUMPRODUCT(Y60:Y61,Z60:Z61)</f>
        <v>#DIV/0!</v>
      </c>
      <c r="Z59" s="2611" t="e">
        <f>重み!D59</f>
        <v>#DIV/0!</v>
      </c>
      <c r="AA59" s="643" t="e">
        <f>SUMPRODUCT(AA60:AA61,AB60:AB61)</f>
        <v>#DIV/0!</v>
      </c>
      <c r="AB59" s="2611" t="e">
        <f>重み!E59</f>
        <v>#DIV/0!</v>
      </c>
      <c r="AC59" s="617"/>
      <c r="AD59" s="567"/>
      <c r="AE59" s="596" t="e">
        <f>重み!M59</f>
        <v>#DIV/0!</v>
      </c>
      <c r="AF59" s="2608"/>
      <c r="AG59" s="596" t="e">
        <f>重み!N59</f>
        <v>#DIV/0!</v>
      </c>
      <c r="AH59" s="2687"/>
      <c r="AW59"/>
      <c r="AX59"/>
      <c r="AY59"/>
    </row>
    <row r="60" spans="2:61" ht="14.25" customHeight="1">
      <c r="B60" s="694"/>
      <c r="C60" s="655"/>
      <c r="D60" s="656">
        <v>1</v>
      </c>
      <c r="E60" s="648" t="s">
        <v>2366</v>
      </c>
      <c r="F60" s="685"/>
      <c r="G60" s="2583" t="s">
        <v>3227</v>
      </c>
      <c r="H60" s="2586"/>
      <c r="I60" s="3096"/>
      <c r="J60" s="3097"/>
      <c r="K60" s="3097"/>
      <c r="L60" s="3097"/>
      <c r="M60" s="3098"/>
      <c r="N60" s="2953">
        <v>3</v>
      </c>
      <c r="O60" s="658">
        <f t="shared" si="5"/>
        <v>3</v>
      </c>
      <c r="P60" s="659" t="e">
        <f t="shared" si="28"/>
        <v>#DIV/0!</v>
      </c>
      <c r="Q60" s="2948"/>
      <c r="R60" s="2612">
        <f t="shared" si="6"/>
        <v>0</v>
      </c>
      <c r="S60" s="659" t="e">
        <f t="shared" si="29"/>
        <v>#DIV/0!</v>
      </c>
      <c r="T60" s="642"/>
      <c r="U60" s="567"/>
      <c r="V60" s="2621">
        <f>IF(採点Q1!F437="対象外",0,採点Q1!F437)</f>
        <v>3</v>
      </c>
      <c r="W60" s="2988"/>
      <c r="X60" s="2687"/>
      <c r="Y60" s="660">
        <f t="shared" ref="Y60:Y61" si="35">IF($Y$3=4,N60,V60)</f>
        <v>3</v>
      </c>
      <c r="Z60" s="2611" t="e">
        <f>重み!D60</f>
        <v>#DIV/0!</v>
      </c>
      <c r="AA60" s="660">
        <f t="shared" ref="AA60:AA61" si="36">IF($Y$3=4,Q60,W60)</f>
        <v>0</v>
      </c>
      <c r="AB60" s="2611" t="e">
        <f>重み!E60</f>
        <v>#DIV/0!</v>
      </c>
      <c r="AC60" s="2610"/>
      <c r="AD60" s="2607"/>
      <c r="AE60" s="596" t="e">
        <f>重み!M60</f>
        <v>#DIV/0!</v>
      </c>
      <c r="AF60" s="2608"/>
      <c r="AG60" s="596" t="e">
        <f>重み!N60</f>
        <v>#DIV/0!</v>
      </c>
      <c r="AH60" s="2687"/>
      <c r="AW60"/>
      <c r="AX60"/>
      <c r="AY60"/>
    </row>
    <row r="61" spans="2:61" ht="14.25" customHeight="1" thickBot="1">
      <c r="B61" s="694"/>
      <c r="C61" s="655"/>
      <c r="D61" s="743">
        <v>2</v>
      </c>
      <c r="E61" s="647" t="s">
        <v>2367</v>
      </c>
      <c r="F61" s="680"/>
      <c r="G61" s="2583" t="s">
        <v>3227</v>
      </c>
      <c r="H61" s="2586"/>
      <c r="I61" s="3096" t="s">
        <v>3569</v>
      </c>
      <c r="J61" s="3097"/>
      <c r="K61" s="3097"/>
      <c r="L61" s="3097"/>
      <c r="M61" s="3098"/>
      <c r="N61" s="2949">
        <v>3</v>
      </c>
      <c r="O61" s="667">
        <f t="shared" si="5"/>
        <v>5</v>
      </c>
      <c r="P61" s="659" t="e">
        <f t="shared" si="28"/>
        <v>#DIV/0!</v>
      </c>
      <c r="Q61" s="2952"/>
      <c r="R61" s="2615">
        <f t="shared" si="6"/>
        <v>0</v>
      </c>
      <c r="S61" s="659" t="e">
        <f t="shared" si="29"/>
        <v>#DIV/0!</v>
      </c>
      <c r="T61" s="642"/>
      <c r="U61" s="567"/>
      <c r="V61" s="725">
        <f>IF(採点Q1!K437="対象外",0,採点Q1!K437)</f>
        <v>5</v>
      </c>
      <c r="W61" s="2988"/>
      <c r="X61" s="2687"/>
      <c r="Y61" s="660">
        <f t="shared" si="35"/>
        <v>5</v>
      </c>
      <c r="Z61" s="2611" t="e">
        <f>重み!D61</f>
        <v>#DIV/0!</v>
      </c>
      <c r="AA61" s="660">
        <f t="shared" si="36"/>
        <v>0</v>
      </c>
      <c r="AB61" s="2611" t="e">
        <f>重み!E61</f>
        <v>#DIV/0!</v>
      </c>
      <c r="AC61" s="2610"/>
      <c r="AD61" s="2607"/>
      <c r="AE61" s="2609" t="e">
        <f>重み!M61</f>
        <v>#DIV/0!</v>
      </c>
      <c r="AF61" s="2608"/>
      <c r="AG61" s="2609" t="e">
        <f>重み!N61</f>
        <v>#DIV/0!</v>
      </c>
      <c r="AH61" s="2687"/>
      <c r="AW61"/>
      <c r="AX61"/>
      <c r="AY61"/>
    </row>
    <row r="62" spans="2:61" ht="14.25" customHeight="1" thickBot="1">
      <c r="B62" s="707" t="s">
        <v>1931</v>
      </c>
      <c r="C62" s="708" t="s">
        <v>1932</v>
      </c>
      <c r="D62" s="709"/>
      <c r="E62" s="709"/>
      <c r="F62" s="710"/>
      <c r="G62" s="2578"/>
      <c r="H62" s="2578"/>
      <c r="I62" s="709"/>
      <c r="J62" s="709"/>
      <c r="K62" s="709"/>
      <c r="L62" s="709"/>
      <c r="M62" s="709"/>
      <c r="N62" s="714"/>
      <c r="O62" s="714">
        <f t="shared" si="5"/>
        <v>0</v>
      </c>
      <c r="P62" s="715" t="e">
        <f t="shared" si="28"/>
        <v>#DIV/0!</v>
      </c>
      <c r="Q62" s="716"/>
      <c r="R62" s="2958">
        <f t="shared" si="6"/>
        <v>0</v>
      </c>
      <c r="S62" s="717">
        <f t="shared" si="29"/>
        <v>0</v>
      </c>
      <c r="T62" s="718" t="e">
        <f>ROUNDDOWN(AC62,1)</f>
        <v>#DIV/0!</v>
      </c>
      <c r="U62" s="567"/>
      <c r="V62" s="2986"/>
      <c r="W62" s="2986"/>
      <c r="X62" s="2687"/>
      <c r="Y62" s="690"/>
      <c r="Z62" s="629" t="e">
        <f>重み!D62</f>
        <v>#DIV/0!</v>
      </c>
      <c r="AA62" s="690"/>
      <c r="AB62" s="629"/>
      <c r="AC62" s="3017" t="e">
        <f>AC63*Z63+AC78*Z78+AC100*Z100</f>
        <v>#DIV/0!</v>
      </c>
      <c r="AD62" s="2607"/>
      <c r="AE62" s="2609" t="e">
        <f>重み!M62</f>
        <v>#DIV/0!</v>
      </c>
      <c r="AF62" s="2608"/>
      <c r="AG62" s="2609" t="e">
        <f>重み!N62</f>
        <v>#DIV/0!</v>
      </c>
      <c r="AH62" s="2687"/>
      <c r="AI62" s="2361"/>
      <c r="AJ62" s="2361"/>
      <c r="AK62" s="2361"/>
      <c r="AL62" s="2361"/>
      <c r="AM62" s="2361"/>
      <c r="AN62" s="2361"/>
      <c r="AO62" s="2361"/>
      <c r="AP62" s="2361"/>
      <c r="AQ62" s="2361"/>
      <c r="AR62" s="2362"/>
      <c r="AS62" s="2363"/>
      <c r="AT62" s="2364" t="e">
        <f>P62</f>
        <v>#DIV/0!</v>
      </c>
      <c r="AU62" s="718" t="e">
        <f>ROUNDDOWN(AW62,1)</f>
        <v>#DIV/0!</v>
      </c>
      <c r="AV62" s="2329"/>
      <c r="AW62" s="2354" t="e">
        <f>SUMPRODUCT(AT63:AT111,AW63:AW111)</f>
        <v>#DIV/0!</v>
      </c>
      <c r="AY62" s="2353" t="e">
        <f>SUMPRODUCT($AZ$7:$BI$7,AZ62:BI62)</f>
        <v>#DIV/0!</v>
      </c>
      <c r="AZ62" s="2339">
        <f t="shared" ref="AZ62:BI63" si="37">IF(AI62&gt;0,1,0)</f>
        <v>0</v>
      </c>
      <c r="BA62" s="2339">
        <f t="shared" si="37"/>
        <v>0</v>
      </c>
      <c r="BB62" s="2339">
        <f t="shared" si="37"/>
        <v>0</v>
      </c>
      <c r="BC62" s="2339">
        <f t="shared" si="37"/>
        <v>0</v>
      </c>
      <c r="BD62" s="2339">
        <f t="shared" si="37"/>
        <v>0</v>
      </c>
      <c r="BE62" s="2339">
        <f t="shared" si="37"/>
        <v>0</v>
      </c>
      <c r="BF62" s="2339">
        <f t="shared" si="37"/>
        <v>0</v>
      </c>
      <c r="BG62" s="2339">
        <f t="shared" si="37"/>
        <v>0</v>
      </c>
      <c r="BH62" s="2339">
        <f t="shared" si="37"/>
        <v>0</v>
      </c>
      <c r="BI62" s="2339">
        <f t="shared" si="37"/>
        <v>0</v>
      </c>
    </row>
    <row r="63" spans="2:61" ht="14.25" customHeight="1">
      <c r="B63" s="631">
        <v>1</v>
      </c>
      <c r="C63" s="719" t="s">
        <v>2368</v>
      </c>
      <c r="D63" s="720"/>
      <c r="E63" s="672"/>
      <c r="F63" s="635"/>
      <c r="G63" s="2577" t="s">
        <v>3215</v>
      </c>
      <c r="H63" s="2576"/>
      <c r="I63" s="636"/>
      <c r="J63" s="637"/>
      <c r="K63" s="637"/>
      <c r="L63" s="637"/>
      <c r="M63" s="638"/>
      <c r="N63" s="674" t="e">
        <f t="shared" ref="N63:N64" si="38">ROUNDDOWN(Y63,1)</f>
        <v>#DIV/0!</v>
      </c>
      <c r="O63" s="674" t="e">
        <f t="shared" si="5"/>
        <v>#DIV/0!</v>
      </c>
      <c r="P63" s="721" t="e">
        <f t="shared" si="28"/>
        <v>#DIV/0!</v>
      </c>
      <c r="Q63" s="2957" t="e">
        <f t="shared" ref="Q63:Q64" si="39">ROUNDDOWN(AA63,1)</f>
        <v>#DIV/0!</v>
      </c>
      <c r="R63" s="639" t="e">
        <f t="shared" si="6"/>
        <v>#DIV/0!</v>
      </c>
      <c r="S63" s="722" t="e">
        <f t="shared" si="29"/>
        <v>#DIV/0!</v>
      </c>
      <c r="T63" s="723" t="e">
        <f>ROUNDDOWN(AC63,1)</f>
        <v>#DIV/0!</v>
      </c>
      <c r="U63" s="567"/>
      <c r="V63" s="2984"/>
      <c r="W63" s="2984"/>
      <c r="X63" s="2687"/>
      <c r="Y63" s="2978" t="e">
        <f>Y64*Z64+Y68*Z68+Y74*Z74</f>
        <v>#DIV/0!</v>
      </c>
      <c r="Z63" s="2611" t="e">
        <f>重み!D63</f>
        <v>#DIV/0!</v>
      </c>
      <c r="AA63" s="2978" t="e">
        <f>AA64*AB64+AA68*AB68+AA74*AB74</f>
        <v>#DIV/0!</v>
      </c>
      <c r="AB63" s="644" t="e">
        <f>SUM(AB64,AB68,AB74)</f>
        <v>#DIV/0!</v>
      </c>
      <c r="AC63" s="2610" t="e">
        <f>IF(AA63=0,Y63,IF(Y63=0,AA63,Y63*AE$6+AA63*AG$6))</f>
        <v>#DIV/0!</v>
      </c>
      <c r="AD63" s="2607"/>
      <c r="AE63" s="2609" t="e">
        <f>重み!M63</f>
        <v>#DIV/0!</v>
      </c>
      <c r="AF63" s="2608"/>
      <c r="AG63" s="644" t="e">
        <f>SUM(AG64,AG68,AG74)</f>
        <v>#DIV/0!</v>
      </c>
      <c r="AH63" s="2687"/>
      <c r="AI63" s="2358">
        <v>5</v>
      </c>
      <c r="AJ63" s="2358"/>
      <c r="AK63" s="2358"/>
      <c r="AL63" s="2358"/>
      <c r="AM63" s="2358"/>
      <c r="AN63" s="2358">
        <v>0</v>
      </c>
      <c r="AO63" s="2358"/>
      <c r="AP63" s="2358"/>
      <c r="AQ63" s="2358"/>
      <c r="AR63" s="2358"/>
      <c r="AS63" s="2355" t="e">
        <f t="shared" ref="AS63:AS100" si="40">ROUNDDOWN(AW63,1)</f>
        <v>#DIV/0!</v>
      </c>
      <c r="AT63" s="810" t="e">
        <f>P63</f>
        <v>#DIV/0!</v>
      </c>
      <c r="AU63" s="677"/>
      <c r="AV63" s="2329"/>
      <c r="AW63" s="2354" t="e">
        <f>IF(AY63=0,0,SUMPRODUCT($AZ$7:$BI$7,AI63:AR63)/AY63)</f>
        <v>#DIV/0!</v>
      </c>
      <c r="AY63" s="2353" t="e">
        <f>SUMPRODUCT($AZ$7:$BI$7,AZ63:BI63)</f>
        <v>#DIV/0!</v>
      </c>
      <c r="AZ63" s="2339">
        <f t="shared" si="37"/>
        <v>1</v>
      </c>
      <c r="BA63" s="2339">
        <f t="shared" si="37"/>
        <v>0</v>
      </c>
      <c r="BB63" s="2339">
        <f t="shared" si="37"/>
        <v>0</v>
      </c>
      <c r="BC63" s="2339">
        <f t="shared" si="37"/>
        <v>0</v>
      </c>
      <c r="BD63" s="2339">
        <f t="shared" si="37"/>
        <v>0</v>
      </c>
      <c r="BE63" s="2339">
        <f t="shared" si="37"/>
        <v>0</v>
      </c>
      <c r="BF63" s="2339">
        <f t="shared" si="37"/>
        <v>0</v>
      </c>
      <c r="BG63" s="2339">
        <f t="shared" si="37"/>
        <v>0</v>
      </c>
      <c r="BH63" s="2339">
        <f t="shared" si="37"/>
        <v>0</v>
      </c>
      <c r="BI63" s="2339">
        <f t="shared" si="37"/>
        <v>0</v>
      </c>
    </row>
    <row r="64" spans="2:61" ht="14.25" customHeight="1" thickBot="1">
      <c r="B64" s="694"/>
      <c r="C64" s="664">
        <v>1.1000000000000001</v>
      </c>
      <c r="D64" s="647" t="s">
        <v>2369</v>
      </c>
      <c r="E64" s="679"/>
      <c r="F64" s="680"/>
      <c r="G64" s="2597"/>
      <c r="H64" s="2597"/>
      <c r="I64" s="650"/>
      <c r="J64" s="651"/>
      <c r="K64" s="651"/>
      <c r="L64" s="651"/>
      <c r="M64" s="3010"/>
      <c r="N64" s="695" t="e">
        <f t="shared" si="38"/>
        <v>#DIV/0!</v>
      </c>
      <c r="O64" s="695" t="e">
        <f t="shared" si="5"/>
        <v>#DIV/0!</v>
      </c>
      <c r="P64" s="640" t="e">
        <f t="shared" si="28"/>
        <v>#DIV/0!</v>
      </c>
      <c r="Q64" s="696" t="e">
        <f t="shared" si="39"/>
        <v>#DIV/0!</v>
      </c>
      <c r="R64" s="817" t="e">
        <f t="shared" si="6"/>
        <v>#DIV/0!</v>
      </c>
      <c r="S64" s="641" t="e">
        <f t="shared" si="29"/>
        <v>#DIV/0!</v>
      </c>
      <c r="T64" s="642"/>
      <c r="U64" s="567"/>
      <c r="V64" s="2987"/>
      <c r="W64" s="2987"/>
      <c r="X64" s="2687"/>
      <c r="Y64" s="643" t="e">
        <f>SUMPRODUCT(Y65:Y67,Z65:Z67)</f>
        <v>#DIV/0!</v>
      </c>
      <c r="Z64" s="2611" t="e">
        <f>重み!D64</f>
        <v>#DIV/0!</v>
      </c>
      <c r="AA64" s="643" t="e">
        <f>SUMPRODUCT(AA65:AA67,AB65:AB67)</f>
        <v>#DIV/0!</v>
      </c>
      <c r="AB64" s="2611" t="e">
        <f>重み!E64</f>
        <v>#DIV/0!</v>
      </c>
      <c r="AC64" s="2610"/>
      <c r="AD64" s="2607"/>
      <c r="AE64" s="596" t="e">
        <f>重み!M64</f>
        <v>#DIV/0!</v>
      </c>
      <c r="AF64" s="2608"/>
      <c r="AG64" s="596" t="e">
        <f>重み!N64</f>
        <v>#DIV/0!</v>
      </c>
      <c r="AH64" s="2687"/>
      <c r="AW64"/>
      <c r="AX64"/>
      <c r="AY64"/>
    </row>
    <row r="65" spans="2:61" ht="14.25" customHeight="1">
      <c r="B65" s="694"/>
      <c r="C65" s="655"/>
      <c r="D65" s="656">
        <v>1</v>
      </c>
      <c r="E65" s="648" t="s">
        <v>2167</v>
      </c>
      <c r="F65" s="685"/>
      <c r="G65" s="2583" t="s">
        <v>3228</v>
      </c>
      <c r="H65" s="2575"/>
      <c r="I65" s="3096"/>
      <c r="J65" s="3097"/>
      <c r="K65" s="3097"/>
      <c r="L65" s="3097"/>
      <c r="M65" s="3098"/>
      <c r="N65" s="2948">
        <v>3</v>
      </c>
      <c r="O65" s="658">
        <f t="shared" si="5"/>
        <v>3</v>
      </c>
      <c r="P65" s="659" t="e">
        <f t="shared" si="28"/>
        <v>#DIV/0!</v>
      </c>
      <c r="Q65" s="2948"/>
      <c r="R65" s="658">
        <f t="shared" si="6"/>
        <v>3</v>
      </c>
      <c r="S65" s="659" t="e">
        <f t="shared" si="29"/>
        <v>#DIV/0!</v>
      </c>
      <c r="T65" s="642"/>
      <c r="U65" s="567"/>
      <c r="V65" s="2613">
        <f>IF(採点Q2!F9="対象外",0,採点Q2!F9)</f>
        <v>3</v>
      </c>
      <c r="W65" s="2614">
        <f>採点Q2!K9</f>
        <v>3</v>
      </c>
      <c r="X65" s="2687"/>
      <c r="Y65" s="660">
        <f t="shared" ref="Y65:Y67" si="41">IF($Y$3=4,N65,V65)</f>
        <v>3</v>
      </c>
      <c r="Z65" s="2611" t="e">
        <f>重み!D65</f>
        <v>#DIV/0!</v>
      </c>
      <c r="AA65" s="660">
        <f t="shared" ref="AA65:AA67" si="42">IF($Y$3=4,Q65,W65)</f>
        <v>3</v>
      </c>
      <c r="AB65" s="2611" t="e">
        <f>重み!E65</f>
        <v>#DIV/0!</v>
      </c>
      <c r="AC65" s="2610"/>
      <c r="AD65" s="2607"/>
      <c r="AE65" s="596" t="e">
        <f>重み!M65</f>
        <v>#DIV/0!</v>
      </c>
      <c r="AF65" s="2608"/>
      <c r="AG65" s="2609" t="e">
        <f>重み!N65</f>
        <v>#DIV/0!</v>
      </c>
      <c r="AW65"/>
      <c r="AX65"/>
      <c r="AY65"/>
    </row>
    <row r="66" spans="2:61" ht="14.25" customHeight="1">
      <c r="B66" s="694"/>
      <c r="C66" s="655"/>
      <c r="D66" s="656">
        <v>2</v>
      </c>
      <c r="E66" s="648" t="s">
        <v>2168</v>
      </c>
      <c r="F66" s="685"/>
      <c r="G66" s="2583" t="s">
        <v>3229</v>
      </c>
      <c r="H66" s="2575"/>
      <c r="I66" s="3096" t="s">
        <v>3566</v>
      </c>
      <c r="J66" s="3097"/>
      <c r="K66" s="3097"/>
      <c r="L66" s="3097"/>
      <c r="M66" s="3098"/>
      <c r="N66" s="2954">
        <v>3</v>
      </c>
      <c r="O66" s="667">
        <f t="shared" si="5"/>
        <v>4</v>
      </c>
      <c r="P66" s="659" t="e">
        <f t="shared" si="28"/>
        <v>#DIV/0!</v>
      </c>
      <c r="Q66" s="2949"/>
      <c r="R66" s="667">
        <f t="shared" si="6"/>
        <v>3</v>
      </c>
      <c r="S66" s="659" t="e">
        <f t="shared" si="29"/>
        <v>#DIV/0!</v>
      </c>
      <c r="T66" s="642"/>
      <c r="U66" s="567"/>
      <c r="V66" s="2619">
        <f>IF(採点Q2!F18="対象外",0,採点Q2!F18)</f>
        <v>4</v>
      </c>
      <c r="W66" s="2620">
        <f>採点Q2!K18</f>
        <v>3</v>
      </c>
      <c r="Y66" s="660">
        <f t="shared" si="41"/>
        <v>4</v>
      </c>
      <c r="Z66" s="2611" t="e">
        <f>重み!D66</f>
        <v>#DIV/0!</v>
      </c>
      <c r="AA66" s="660">
        <f t="shared" si="42"/>
        <v>3</v>
      </c>
      <c r="AB66" s="2611" t="e">
        <f>重み!E66</f>
        <v>#DIV/0!</v>
      </c>
      <c r="AC66" s="2610"/>
      <c r="AD66" s="2607"/>
      <c r="AE66" s="596" t="e">
        <f>重み!M66</f>
        <v>#DIV/0!</v>
      </c>
      <c r="AF66" s="581"/>
      <c r="AG66" s="2609" t="e">
        <f>重み!N66</f>
        <v>#DIV/0!</v>
      </c>
      <c r="AW66"/>
      <c r="AX66"/>
      <c r="AY66"/>
    </row>
    <row r="67" spans="2:61" ht="14.25" customHeight="1" thickBot="1">
      <c r="B67" s="694"/>
      <c r="C67" s="661"/>
      <c r="D67" s="656">
        <v>3</v>
      </c>
      <c r="E67" s="648" t="s">
        <v>2169</v>
      </c>
      <c r="F67" s="685"/>
      <c r="G67" s="2583" t="s">
        <v>3229</v>
      </c>
      <c r="H67" s="2575"/>
      <c r="I67" s="3096" t="s">
        <v>3570</v>
      </c>
      <c r="J67" s="3097"/>
      <c r="K67" s="3097"/>
      <c r="L67" s="3097"/>
      <c r="M67" s="3098"/>
      <c r="N67" s="2955">
        <v>3</v>
      </c>
      <c r="O67" s="663">
        <f t="shared" si="5"/>
        <v>4</v>
      </c>
      <c r="P67" s="659" t="e">
        <f t="shared" si="28"/>
        <v>#DIV/0!</v>
      </c>
      <c r="Q67" s="2952"/>
      <c r="R67" s="663">
        <f t="shared" si="6"/>
        <v>0</v>
      </c>
      <c r="S67" s="659" t="e">
        <f t="shared" si="29"/>
        <v>#DIV/0!</v>
      </c>
      <c r="T67" s="642"/>
      <c r="U67" s="567"/>
      <c r="V67" s="2616">
        <f>IF(採点Q2!F27="対象外",0,採点Q2!F27)</f>
        <v>4</v>
      </c>
      <c r="W67" s="2989"/>
      <c r="Y67" s="660">
        <f t="shared" si="41"/>
        <v>4</v>
      </c>
      <c r="Z67" s="2611" t="e">
        <f>重み!D67</f>
        <v>#DIV/0!</v>
      </c>
      <c r="AA67" s="660">
        <f t="shared" si="42"/>
        <v>0</v>
      </c>
      <c r="AB67" s="2611" t="e">
        <f>重み!E67</f>
        <v>#DIV/0!</v>
      </c>
      <c r="AC67" s="2610"/>
      <c r="AD67" s="567"/>
      <c r="AE67" s="596" t="e">
        <f>重み!M67</f>
        <v>#DIV/0!</v>
      </c>
      <c r="AF67" s="581"/>
      <c r="AG67" s="2609" t="e">
        <f>重み!N67</f>
        <v>#DIV/0!</v>
      </c>
      <c r="AW67"/>
      <c r="AX67"/>
      <c r="AY67"/>
    </row>
    <row r="68" spans="2:61" ht="14.25" customHeight="1" thickBot="1">
      <c r="B68" s="694"/>
      <c r="C68" s="646">
        <v>1.2</v>
      </c>
      <c r="D68" s="647" t="s">
        <v>2639</v>
      </c>
      <c r="E68" s="679"/>
      <c r="F68" s="680"/>
      <c r="G68" s="2581"/>
      <c r="H68" s="2574"/>
      <c r="I68" s="636"/>
      <c r="J68" s="637"/>
      <c r="K68" s="637"/>
      <c r="L68" s="637"/>
      <c r="M68" s="638"/>
      <c r="N68" s="3015" t="e">
        <f>ROUNDDOWN(Y68,1)</f>
        <v>#DIV/0!</v>
      </c>
      <c r="O68" s="695" t="e">
        <f t="shared" si="5"/>
        <v>#DIV/0!</v>
      </c>
      <c r="P68" s="659" t="e">
        <f>Z68</f>
        <v>#DIV/0!</v>
      </c>
      <c r="Q68" s="696" t="e">
        <f>ROUNDDOWN(AA68,1)</f>
        <v>#DIV/0!</v>
      </c>
      <c r="R68" s="2230" t="e">
        <f t="shared" si="6"/>
        <v>#DIV/0!</v>
      </c>
      <c r="S68" s="641" t="e">
        <f t="shared" si="29"/>
        <v>#DIV/0!</v>
      </c>
      <c r="T68" s="642"/>
      <c r="U68" s="567"/>
      <c r="V68" s="2985"/>
      <c r="W68" s="2985"/>
      <c r="Y68" s="643" t="e">
        <f>SUMPRODUCT(Y69:Y73,Z69:Z73)</f>
        <v>#DIV/0!</v>
      </c>
      <c r="Z68" s="2611" t="e">
        <f>重み!D68</f>
        <v>#DIV/0!</v>
      </c>
      <c r="AA68" s="643" t="e">
        <f>SUMPRODUCT(AA69:AA73,AB69:AB73)</f>
        <v>#DIV/0!</v>
      </c>
      <c r="AB68" s="2611" t="e">
        <f>重み!E68</f>
        <v>#DIV/0!</v>
      </c>
      <c r="AC68" s="617"/>
      <c r="AD68" s="567"/>
      <c r="AE68" s="596" t="e">
        <f>重み!M68</f>
        <v>#DIV/0!</v>
      </c>
      <c r="AF68" s="581"/>
      <c r="AG68" s="2609" t="e">
        <f>重み!N68</f>
        <v>#DIV/0!</v>
      </c>
      <c r="AW68"/>
      <c r="AX68"/>
      <c r="AY68"/>
    </row>
    <row r="69" spans="2:61" ht="14.25" customHeight="1">
      <c r="B69" s="694"/>
      <c r="C69" s="655"/>
      <c r="D69" s="656">
        <v>1</v>
      </c>
      <c r="E69" s="648" t="s">
        <v>845</v>
      </c>
      <c r="F69" s="2942" t="s">
        <v>3476</v>
      </c>
      <c r="G69" s="2583" t="s">
        <v>3229</v>
      </c>
      <c r="H69" s="2575"/>
      <c r="I69" s="3096"/>
      <c r="J69" s="3097"/>
      <c r="K69" s="3097"/>
      <c r="L69" s="3097"/>
      <c r="M69" s="3098"/>
      <c r="N69" s="2953">
        <v>3</v>
      </c>
      <c r="O69" s="658">
        <f t="shared" si="5"/>
        <v>3</v>
      </c>
      <c r="P69" s="659" t="e">
        <f t="shared" si="28"/>
        <v>#DIV/0!</v>
      </c>
      <c r="Q69" s="2948"/>
      <c r="R69" s="658">
        <f t="shared" si="6"/>
        <v>3</v>
      </c>
      <c r="S69" s="659" t="e">
        <f t="shared" si="29"/>
        <v>#DIV/0!</v>
      </c>
      <c r="T69" s="642"/>
      <c r="U69" s="567"/>
      <c r="V69" s="2613">
        <f>IF(採点Q2!F37="対象外",0,採点Q2!F37)</f>
        <v>3</v>
      </c>
      <c r="W69" s="2614">
        <f>採点Q2!M37</f>
        <v>3</v>
      </c>
      <c r="Y69" s="660">
        <f t="shared" ref="Y69:Y72" si="43">IF($Y$3=4,N69,V69)</f>
        <v>3</v>
      </c>
      <c r="Z69" s="2611" t="e">
        <f>重み!D69</f>
        <v>#DIV/0!</v>
      </c>
      <c r="AA69" s="660">
        <f t="shared" ref="AA69:AA72" si="44">IF($Y$3=4,Q69,W69)</f>
        <v>3</v>
      </c>
      <c r="AB69" s="2611" t="e">
        <f>重み!E69</f>
        <v>#DIV/0!</v>
      </c>
      <c r="AC69" s="2610"/>
      <c r="AD69" s="567"/>
      <c r="AE69" s="596" t="e">
        <f>重み!M69</f>
        <v>#DIV/0!</v>
      </c>
      <c r="AF69" s="581"/>
      <c r="AG69" s="2609" t="e">
        <f>重み!N69</f>
        <v>#DIV/0!</v>
      </c>
      <c r="AW69"/>
      <c r="AX69"/>
      <c r="AY69"/>
    </row>
    <row r="70" spans="2:61" s="2687" customFormat="1" ht="14.25" hidden="1" customHeight="1">
      <c r="B70" s="694"/>
      <c r="C70" s="655"/>
      <c r="D70" s="2944">
        <v>2</v>
      </c>
      <c r="E70" s="2943" t="s">
        <v>845</v>
      </c>
      <c r="F70" s="2942" t="s">
        <v>3477</v>
      </c>
      <c r="G70" s="2583"/>
      <c r="H70" s="2575"/>
      <c r="I70" s="3096"/>
      <c r="J70" s="3097"/>
      <c r="K70" s="3097"/>
      <c r="L70" s="3097"/>
      <c r="M70" s="3098"/>
      <c r="N70" s="2954">
        <v>3</v>
      </c>
      <c r="O70" s="2618">
        <f t="shared" si="5"/>
        <v>100</v>
      </c>
      <c r="P70" s="659" t="e">
        <f t="shared" si="28"/>
        <v>#DIV/0!</v>
      </c>
      <c r="Q70" s="2949"/>
      <c r="R70" s="2618">
        <f t="shared" si="6"/>
        <v>0</v>
      </c>
      <c r="S70" s="659"/>
      <c r="T70" s="642"/>
      <c r="U70" s="2607"/>
      <c r="V70" s="3003">
        <v>100</v>
      </c>
      <c r="W70" s="2620"/>
      <c r="Y70" s="660">
        <f t="shared" si="43"/>
        <v>100</v>
      </c>
      <c r="Z70" s="2611" t="e">
        <f>重み!D70</f>
        <v>#DIV/0!</v>
      </c>
      <c r="AA70" s="660">
        <f t="shared" si="44"/>
        <v>0</v>
      </c>
      <c r="AB70" s="2611" t="e">
        <f>重み!E70</f>
        <v>#DIV/0!</v>
      </c>
      <c r="AC70" s="2610"/>
      <c r="AD70" s="2607"/>
      <c r="AE70" s="2609" t="e">
        <f>重み!M70</f>
        <v>#DIV/0!</v>
      </c>
      <c r="AF70" s="2608"/>
      <c r="AG70" s="2609" t="e">
        <f>重み!N70</f>
        <v>#DIV/0!</v>
      </c>
    </row>
    <row r="71" spans="2:61" ht="14.25" customHeight="1">
      <c r="B71" s="694"/>
      <c r="C71" s="655"/>
      <c r="D71" s="656">
        <v>2</v>
      </c>
      <c r="E71" s="648" t="s">
        <v>1933</v>
      </c>
      <c r="F71" s="685"/>
      <c r="G71" s="2583" t="s">
        <v>3229</v>
      </c>
      <c r="H71" s="2575"/>
      <c r="I71" s="3096"/>
      <c r="J71" s="3097"/>
      <c r="K71" s="3097"/>
      <c r="L71" s="3097"/>
      <c r="M71" s="3098"/>
      <c r="N71" s="2954">
        <v>3</v>
      </c>
      <c r="O71" s="2618">
        <f t="shared" si="5"/>
        <v>3</v>
      </c>
      <c r="P71" s="659" t="e">
        <f t="shared" si="28"/>
        <v>#DIV/0!</v>
      </c>
      <c r="Q71" s="2949"/>
      <c r="R71" s="2618">
        <f t="shared" si="6"/>
        <v>0</v>
      </c>
      <c r="S71" s="659" t="e">
        <f t="shared" si="29"/>
        <v>#DIV/0!</v>
      </c>
      <c r="T71" s="642"/>
      <c r="U71" s="567"/>
      <c r="V71" s="2619">
        <f>IF(採点Q2!F46="対象外",0,採点Q2!F46)</f>
        <v>3</v>
      </c>
      <c r="W71" s="2620"/>
      <c r="Y71" s="660">
        <f t="shared" si="43"/>
        <v>3</v>
      </c>
      <c r="Z71" s="2611" t="e">
        <f>重み!D71</f>
        <v>#DIV/0!</v>
      </c>
      <c r="AA71" s="660">
        <f t="shared" si="44"/>
        <v>0</v>
      </c>
      <c r="AB71" s="2611" t="e">
        <f>重み!E71</f>
        <v>#DIV/0!</v>
      </c>
      <c r="AC71" s="2610"/>
      <c r="AD71" s="567"/>
      <c r="AE71" s="596" t="e">
        <f>重み!M71</f>
        <v>#DIV/0!</v>
      </c>
      <c r="AF71" s="581"/>
      <c r="AG71" s="2609" t="e">
        <f>重み!N71</f>
        <v>#DIV/0!</v>
      </c>
      <c r="AW71"/>
      <c r="AX71"/>
      <c r="AY71"/>
    </row>
    <row r="72" spans="2:61" ht="14.25" customHeight="1" thickBot="1">
      <c r="B72" s="694"/>
      <c r="C72" s="655"/>
      <c r="D72" s="656">
        <v>3</v>
      </c>
      <c r="E72" s="648" t="s">
        <v>0</v>
      </c>
      <c r="F72" s="685"/>
      <c r="G72" s="2583" t="s">
        <v>3229</v>
      </c>
      <c r="H72" s="2575"/>
      <c r="I72" s="3096"/>
      <c r="J72" s="3097"/>
      <c r="K72" s="3097"/>
      <c r="L72" s="3097"/>
      <c r="M72" s="3098"/>
      <c r="N72" s="2954">
        <v>3</v>
      </c>
      <c r="O72" s="2618" t="e">
        <f t="shared" si="5"/>
        <v>#DIV/0!</v>
      </c>
      <c r="P72" s="659" t="e">
        <f t="shared" si="28"/>
        <v>#DIV/0!</v>
      </c>
      <c r="Q72" s="2949"/>
      <c r="R72" s="2618" t="e">
        <f t="shared" si="6"/>
        <v>#DIV/0!</v>
      </c>
      <c r="S72" s="659" t="e">
        <f t="shared" si="29"/>
        <v>#DIV/0!</v>
      </c>
      <c r="T72" s="642"/>
      <c r="U72" s="567"/>
      <c r="V72" s="2619" t="e">
        <f>IF(採点Q2!F55="対象外",0,採点Q2!F55)</f>
        <v>#DIV/0!</v>
      </c>
      <c r="W72" s="2620" t="e">
        <f>採点Q2!K55</f>
        <v>#DIV/0!</v>
      </c>
      <c r="Y72" s="660" t="e">
        <f t="shared" si="43"/>
        <v>#DIV/0!</v>
      </c>
      <c r="Z72" s="2611" t="e">
        <f>重み!D72</f>
        <v>#DIV/0!</v>
      </c>
      <c r="AA72" s="660" t="e">
        <f t="shared" si="44"/>
        <v>#DIV/0!</v>
      </c>
      <c r="AB72" s="2611" t="e">
        <f>重み!E72</f>
        <v>#DIV/0!</v>
      </c>
      <c r="AC72" s="2610"/>
      <c r="AD72" s="567"/>
      <c r="AE72" s="596" t="e">
        <f>重み!M72</f>
        <v>#DIV/0!</v>
      </c>
      <c r="AF72" s="581"/>
      <c r="AG72" s="2609" t="e">
        <f>重み!N72</f>
        <v>#DIV/0!</v>
      </c>
      <c r="AW72"/>
      <c r="AX72"/>
      <c r="AY72"/>
    </row>
    <row r="73" spans="2:61" s="2687" customFormat="1" ht="14.25" hidden="1" customHeight="1" thickBot="1">
      <c r="B73" s="694"/>
      <c r="C73" s="655"/>
      <c r="D73" s="2944">
        <v>5</v>
      </c>
      <c r="E73" s="2943" t="s">
        <v>3475</v>
      </c>
      <c r="F73" s="680"/>
      <c r="G73" s="2930"/>
      <c r="H73" s="2574"/>
      <c r="I73" s="3096"/>
      <c r="J73" s="3097"/>
      <c r="K73" s="3097"/>
      <c r="L73" s="3097"/>
      <c r="M73" s="3098"/>
      <c r="N73" s="2955">
        <v>3</v>
      </c>
      <c r="O73" s="2615">
        <f t="shared" si="5"/>
        <v>100</v>
      </c>
      <c r="P73" s="659" t="e">
        <f t="shared" si="28"/>
        <v>#DIV/0!</v>
      </c>
      <c r="Q73" s="2952"/>
      <c r="R73" s="2615">
        <f t="shared" si="6"/>
        <v>0</v>
      </c>
      <c r="S73" s="659"/>
      <c r="T73" s="642"/>
      <c r="U73" s="2607"/>
      <c r="V73" s="3004">
        <v>100</v>
      </c>
      <c r="W73" s="2617"/>
      <c r="Y73" s="660">
        <f>IF($Y$3=4,N73,V73)</f>
        <v>100</v>
      </c>
      <c r="Z73" s="2611" t="e">
        <f>重み!D73</f>
        <v>#DIV/0!</v>
      </c>
      <c r="AA73" s="660">
        <f>IF($Y$3=4,Q73,W73)</f>
        <v>0</v>
      </c>
      <c r="AB73" s="2611" t="e">
        <f>重み!E73</f>
        <v>#DIV/0!</v>
      </c>
      <c r="AC73" s="2610"/>
      <c r="AD73" s="2607"/>
      <c r="AE73" s="2609" t="e">
        <f>重み!M73</f>
        <v>#DIV/0!</v>
      </c>
      <c r="AF73" s="2608"/>
      <c r="AG73" s="2609" t="e">
        <f>重み!N73</f>
        <v>#DIV/0!</v>
      </c>
    </row>
    <row r="74" spans="2:61" ht="14.25" customHeight="1" thickBot="1">
      <c r="B74" s="724"/>
      <c r="C74" s="646">
        <v>1.3</v>
      </c>
      <c r="D74" s="647" t="s">
        <v>1</v>
      </c>
      <c r="E74" s="679"/>
      <c r="F74" s="680"/>
      <c r="G74" s="2581"/>
      <c r="H74" s="2574"/>
      <c r="I74" s="636"/>
      <c r="J74" s="637"/>
      <c r="K74" s="637"/>
      <c r="L74" s="637"/>
      <c r="M74" s="638"/>
      <c r="N74" s="695" t="e">
        <f>ROUNDDOWN(Y74,1)</f>
        <v>#DIV/0!</v>
      </c>
      <c r="O74" s="2230" t="e">
        <f t="shared" si="5"/>
        <v>#DIV/0!</v>
      </c>
      <c r="P74" s="659" t="e">
        <f>Z74</f>
        <v>#DIV/0!</v>
      </c>
      <c r="Q74" s="696" t="e">
        <f>ROUNDDOWN(AA74,1)</f>
        <v>#DIV/0!</v>
      </c>
      <c r="R74" s="2959" t="e">
        <f t="shared" si="6"/>
        <v>#DIV/0!</v>
      </c>
      <c r="S74" s="659" t="e">
        <f t="shared" ref="S74" si="45">AB74</f>
        <v>#DIV/0!</v>
      </c>
      <c r="T74" s="642"/>
      <c r="U74" s="567"/>
      <c r="V74" s="2986"/>
      <c r="W74" s="2986"/>
      <c r="Y74" s="643" t="e">
        <f>SUMPRODUCT(Y75:Y77,Z75:Z77)</f>
        <v>#DIV/0!</v>
      </c>
      <c r="Z74" s="2611" t="e">
        <f>重み!D74</f>
        <v>#DIV/0!</v>
      </c>
      <c r="AA74" s="643" t="e">
        <f>SUMPRODUCT(AA75:AA77,AB75:AB77)</f>
        <v>#DIV/0!</v>
      </c>
      <c r="AB74" s="2611" t="e">
        <f>重み!E74</f>
        <v>#DIV/0!</v>
      </c>
      <c r="AC74" s="617"/>
      <c r="AD74" s="567"/>
      <c r="AE74" s="596" t="e">
        <f>重み!M74</f>
        <v>#DIV/0!</v>
      </c>
      <c r="AF74" s="581"/>
      <c r="AG74" s="2609" t="e">
        <f>重み!N74</f>
        <v>#DIV/0!</v>
      </c>
      <c r="AW74"/>
      <c r="AX74"/>
      <c r="AY74"/>
    </row>
    <row r="75" spans="2:61" ht="14.25" customHeight="1">
      <c r="B75" s="724"/>
      <c r="C75" s="655"/>
      <c r="D75" s="656">
        <v>1</v>
      </c>
      <c r="E75" s="648" t="s">
        <v>2</v>
      </c>
      <c r="F75" s="685"/>
      <c r="G75" s="2583" t="s">
        <v>3229</v>
      </c>
      <c r="H75" s="2575"/>
      <c r="I75" s="3096"/>
      <c r="J75" s="3097"/>
      <c r="K75" s="3097"/>
      <c r="L75" s="3097"/>
      <c r="M75" s="3098"/>
      <c r="N75" s="2948">
        <v>3</v>
      </c>
      <c r="O75" s="658" t="e">
        <f t="shared" ref="O75:O138" si="46">ROUNDDOWN(Y75,1)</f>
        <v>#DIV/0!</v>
      </c>
      <c r="P75" s="659" t="e">
        <f t="shared" si="28"/>
        <v>#DIV/0!</v>
      </c>
      <c r="Q75" s="2948"/>
      <c r="R75" s="658">
        <f t="shared" ref="R75:R138" si="47">ROUNDDOWN(AA75,1)</f>
        <v>0</v>
      </c>
      <c r="S75" s="659" t="e">
        <f t="shared" si="29"/>
        <v>#DIV/0!</v>
      </c>
      <c r="T75" s="642"/>
      <c r="U75" s="567"/>
      <c r="V75" s="2621" t="e">
        <f>IF(採点Q2!F73="対象外",0,採点Q2!F73)</f>
        <v>#DIV/0!</v>
      </c>
      <c r="W75" s="2984"/>
      <c r="Y75" s="660" t="e">
        <f t="shared" ref="Y75:Y76" si="48">IF($Y$3=4,N75,V75)</f>
        <v>#DIV/0!</v>
      </c>
      <c r="Z75" s="2611" t="e">
        <f>重み!D75</f>
        <v>#DIV/0!</v>
      </c>
      <c r="AA75" s="660">
        <f t="shared" ref="AA75:AA76" si="49">IF($Y$3=4,Q75,W75)</f>
        <v>0</v>
      </c>
      <c r="AB75" s="2611" t="e">
        <f>重み!E75</f>
        <v>#DIV/0!</v>
      </c>
      <c r="AC75" s="2610"/>
      <c r="AD75" s="567"/>
      <c r="AE75" s="596" t="e">
        <f>重み!M75</f>
        <v>#DIV/0!</v>
      </c>
      <c r="AF75" s="581"/>
      <c r="AG75" s="2609" t="e">
        <f>重み!N75</f>
        <v>#DIV/0!</v>
      </c>
      <c r="AW75"/>
      <c r="AX75"/>
      <c r="AY75"/>
    </row>
    <row r="76" spans="2:61" ht="14.25" customHeight="1" thickBot="1">
      <c r="B76" s="694"/>
      <c r="C76" s="655"/>
      <c r="D76" s="656">
        <v>2</v>
      </c>
      <c r="E76" s="648" t="s">
        <v>3</v>
      </c>
      <c r="F76" s="685"/>
      <c r="G76" s="2583" t="s">
        <v>3229</v>
      </c>
      <c r="H76" s="2575"/>
      <c r="I76" s="3096"/>
      <c r="J76" s="3097"/>
      <c r="K76" s="3097"/>
      <c r="L76" s="3097"/>
      <c r="M76" s="3098"/>
      <c r="N76" s="2949">
        <v>0</v>
      </c>
      <c r="O76" s="667" t="e">
        <f t="shared" si="46"/>
        <v>#DIV/0!</v>
      </c>
      <c r="P76" s="659" t="e">
        <f t="shared" si="28"/>
        <v>#DIV/0!</v>
      </c>
      <c r="Q76" s="2949"/>
      <c r="R76" s="667">
        <f t="shared" si="47"/>
        <v>0</v>
      </c>
      <c r="S76" s="659" t="e">
        <f t="shared" si="29"/>
        <v>#DIV/0!</v>
      </c>
      <c r="T76" s="642"/>
      <c r="U76" s="567"/>
      <c r="V76" s="725" t="e">
        <f>IF(採点Q2!F117="対象外",0,採点Q2!F117)</f>
        <v>#DIV/0!</v>
      </c>
      <c r="W76" s="2984"/>
      <c r="Y76" s="660" t="e">
        <f t="shared" si="48"/>
        <v>#DIV/0!</v>
      </c>
      <c r="Z76" s="2611" t="e">
        <f>重み!D76</f>
        <v>#DIV/0!</v>
      </c>
      <c r="AA76" s="660">
        <f t="shared" si="49"/>
        <v>0</v>
      </c>
      <c r="AB76" s="2611" t="e">
        <f>重み!E76</f>
        <v>#DIV/0!</v>
      </c>
      <c r="AC76" s="2610"/>
      <c r="AD76" s="567"/>
      <c r="AE76" s="596" t="e">
        <f>重み!M76</f>
        <v>#DIV/0!</v>
      </c>
      <c r="AF76" s="581"/>
      <c r="AG76" s="2609" t="e">
        <f>重み!N76</f>
        <v>#DIV/0!</v>
      </c>
      <c r="AW76"/>
      <c r="AX76"/>
      <c r="AY76"/>
    </row>
    <row r="77" spans="2:61" ht="14.25" hidden="1" customHeight="1" thickBot="1">
      <c r="B77" s="694"/>
      <c r="C77" s="661"/>
      <c r="D77" s="2639">
        <v>3</v>
      </c>
      <c r="E77" s="2640" t="s">
        <v>4</v>
      </c>
      <c r="F77" s="2641"/>
      <c r="G77" s="2597"/>
      <c r="H77" s="2597"/>
      <c r="I77" s="3096"/>
      <c r="J77" s="3097"/>
      <c r="K77" s="3097"/>
      <c r="L77" s="3097"/>
      <c r="M77" s="3098"/>
      <c r="N77" s="2952">
        <v>0</v>
      </c>
      <c r="O77" s="663" t="e">
        <f t="shared" si="46"/>
        <v>#DIV/0!</v>
      </c>
      <c r="P77" s="659" t="e">
        <f t="shared" si="28"/>
        <v>#DIV/0!</v>
      </c>
      <c r="Q77" s="2615"/>
      <c r="R77" s="663">
        <f t="shared" si="47"/>
        <v>0</v>
      </c>
      <c r="S77" s="659" t="e">
        <f t="shared" si="29"/>
        <v>#DIV/0!</v>
      </c>
      <c r="T77" s="642"/>
      <c r="U77" s="567"/>
      <c r="V77" s="2622" t="e">
        <f>採点Q2!F170</f>
        <v>#DIV/0!</v>
      </c>
      <c r="W77" s="2984"/>
      <c r="Y77" s="660" t="e">
        <f t="shared" ref="Y77" si="50">IF($Y$3=4,N77,V77)</f>
        <v>#DIV/0!</v>
      </c>
      <c r="Z77" s="2611" t="e">
        <f>重み!D77</f>
        <v>#DIV/0!</v>
      </c>
      <c r="AA77" s="660">
        <f t="shared" ref="AA77" si="51">IF($Y$3=4,Q77,W77)</f>
        <v>0</v>
      </c>
      <c r="AB77" s="2611" t="e">
        <f>重み!E77</f>
        <v>#DIV/0!</v>
      </c>
      <c r="AC77" s="2610"/>
      <c r="AD77" s="567"/>
      <c r="AE77" s="596" t="e">
        <f>重み!M77</f>
        <v>#DIV/0!</v>
      </c>
      <c r="AF77" s="581"/>
      <c r="AG77" s="2609" t="e">
        <f>重み!N77</f>
        <v>#DIV/0!</v>
      </c>
      <c r="AW77"/>
      <c r="AX77"/>
      <c r="AY77"/>
    </row>
    <row r="78" spans="2:61" ht="14.25" customHeight="1">
      <c r="B78" s="726">
        <v>2</v>
      </c>
      <c r="C78" s="671" t="s">
        <v>5</v>
      </c>
      <c r="D78" s="740"/>
      <c r="E78" s="740"/>
      <c r="F78" s="680"/>
      <c r="G78" s="2573" t="s">
        <v>3230</v>
      </c>
      <c r="H78" s="2573" t="s">
        <v>3231</v>
      </c>
      <c r="I78" s="650"/>
      <c r="J78" s="651"/>
      <c r="K78" s="651"/>
      <c r="L78" s="651"/>
      <c r="M78" s="3010"/>
      <c r="N78" s="2221" t="e">
        <f t="shared" ref="N78:N79" si="52">ROUNDDOWN(Y78,1)</f>
        <v>#DIV/0!</v>
      </c>
      <c r="O78" s="2221" t="e">
        <f t="shared" si="46"/>
        <v>#DIV/0!</v>
      </c>
      <c r="P78" s="675" t="e">
        <f t="shared" si="28"/>
        <v>#DIV/0!</v>
      </c>
      <c r="Q78" s="2960" t="e">
        <f t="shared" ref="Q78:Q79" si="53">ROUNDDOWN(AA78,1)</f>
        <v>#DIV/0!</v>
      </c>
      <c r="R78" s="2221" t="e">
        <f t="shared" si="47"/>
        <v>#DIV/0!</v>
      </c>
      <c r="S78" s="676" t="e">
        <f t="shared" si="29"/>
        <v>#DIV/0!</v>
      </c>
      <c r="T78" s="677" t="e">
        <f>ROUNDDOWN(AC78,1)</f>
        <v>#DIV/0!</v>
      </c>
      <c r="U78" s="567"/>
      <c r="V78" s="2986"/>
      <c r="W78" s="2984"/>
      <c r="Y78" s="2978" t="e">
        <f>Y79*Z79+Y82*Z82+Y89*Z89+Y93*Z93</f>
        <v>#DIV/0!</v>
      </c>
      <c r="Z78" s="2611" t="e">
        <f>重み!D78</f>
        <v>#DIV/0!</v>
      </c>
      <c r="AA78" s="2978" t="e">
        <f>AA79*AB79+AA82*AB82+AA89*AB89+AA93*AB93</f>
        <v>#DIV/0!</v>
      </c>
      <c r="AB78" s="644" t="e">
        <f>SUM(AB79,AB82,AB89,AB93)</f>
        <v>#DIV/0!</v>
      </c>
      <c r="AC78" s="617" t="e">
        <f>IF(AA78=0,Y78,IF(Y78=0,AA78,Y78*AE$6+AA78*AG$6))</f>
        <v>#DIV/0!</v>
      </c>
      <c r="AD78" s="567"/>
      <c r="AE78" s="596" t="e">
        <f>重み!M78</f>
        <v>#DIV/0!</v>
      </c>
      <c r="AF78" s="581"/>
      <c r="AG78" s="644" t="e">
        <f>SUM(AG79,AG82,AG89,AG93)</f>
        <v>#DIV/0!</v>
      </c>
      <c r="AI78" s="2358">
        <v>3</v>
      </c>
      <c r="AJ78" s="2358"/>
      <c r="AK78" s="2358"/>
      <c r="AL78" s="2358"/>
      <c r="AM78" s="2358"/>
      <c r="AN78" s="2358">
        <v>4</v>
      </c>
      <c r="AO78" s="2358"/>
      <c r="AP78" s="2358"/>
      <c r="AQ78" s="2358"/>
      <c r="AR78" s="2358"/>
      <c r="AS78" s="2355" t="e">
        <f t="shared" si="40"/>
        <v>#DIV/0!</v>
      </c>
      <c r="AT78" s="810" t="e">
        <f>P78</f>
        <v>#DIV/0!</v>
      </c>
      <c r="AU78" s="677"/>
      <c r="AV78" s="2329"/>
      <c r="AW78" s="2354" t="e">
        <f>SUMPRODUCT($AZ$7:$BI$7,AI78:AR78)/AY78</f>
        <v>#DIV/0!</v>
      </c>
      <c r="AY78" s="2353" t="e">
        <f>SUMPRODUCT($AZ$7:$BI$7,AZ78:BI78)</f>
        <v>#DIV/0!</v>
      </c>
      <c r="AZ78" s="2339">
        <f>IF(AI78&gt;0,1,0)</f>
        <v>1</v>
      </c>
      <c r="BA78" s="2339">
        <f t="shared" ref="BA78:BI78" si="54">IF(AJ78&gt;0,1,0)</f>
        <v>0</v>
      </c>
      <c r="BB78" s="2339">
        <f t="shared" si="54"/>
        <v>0</v>
      </c>
      <c r="BC78" s="2339">
        <f t="shared" si="54"/>
        <v>0</v>
      </c>
      <c r="BD78" s="2339">
        <f t="shared" si="54"/>
        <v>0</v>
      </c>
      <c r="BE78" s="2339">
        <f t="shared" si="54"/>
        <v>1</v>
      </c>
      <c r="BF78" s="2339">
        <f t="shared" si="54"/>
        <v>0</v>
      </c>
      <c r="BG78" s="2339">
        <f t="shared" si="54"/>
        <v>0</v>
      </c>
      <c r="BH78" s="2339">
        <f t="shared" si="54"/>
        <v>0</v>
      </c>
      <c r="BI78" s="2339">
        <f t="shared" si="54"/>
        <v>0</v>
      </c>
    </row>
    <row r="79" spans="2:61" ht="14.25" customHeight="1" thickBot="1">
      <c r="B79" s="694"/>
      <c r="C79" s="646">
        <v>2.1</v>
      </c>
      <c r="D79" s="678" t="s">
        <v>3377</v>
      </c>
      <c r="E79" s="679"/>
      <c r="F79" s="680"/>
      <c r="G79" s="2572"/>
      <c r="H79" s="2572"/>
      <c r="I79" s="650"/>
      <c r="J79" s="651"/>
      <c r="K79" s="651"/>
      <c r="L79" s="651"/>
      <c r="M79" s="3010"/>
      <c r="N79" s="695" t="e">
        <f t="shared" si="52"/>
        <v>#DIV/0!</v>
      </c>
      <c r="O79" s="695" t="e">
        <f t="shared" si="46"/>
        <v>#DIV/0!</v>
      </c>
      <c r="P79" s="640" t="e">
        <f t="shared" si="28"/>
        <v>#DIV/0!</v>
      </c>
      <c r="Q79" s="2779" t="e">
        <f t="shared" si="53"/>
        <v>#DIV/0!</v>
      </c>
      <c r="R79" s="2790" t="e">
        <f t="shared" si="47"/>
        <v>#DIV/0!</v>
      </c>
      <c r="S79" s="641" t="e">
        <f t="shared" si="29"/>
        <v>#DIV/0!</v>
      </c>
      <c r="T79" s="642"/>
      <c r="U79" s="567"/>
      <c r="V79" s="727"/>
      <c r="W79" s="2984"/>
      <c r="Y79" s="643" t="e">
        <f>SUMPRODUCT(Y80:Y81,Z80:Z81)</f>
        <v>#DIV/0!</v>
      </c>
      <c r="Z79" s="2611" t="e">
        <f>重み!D79</f>
        <v>#DIV/0!</v>
      </c>
      <c r="AA79" s="643" t="e">
        <f>SUMPRODUCT(AA80:AA81,AB80:AB81)</f>
        <v>#DIV/0!</v>
      </c>
      <c r="AB79" s="2611" t="e">
        <f>重み!E79</f>
        <v>#DIV/0!</v>
      </c>
      <c r="AC79" s="617"/>
      <c r="AD79" s="567"/>
      <c r="AE79" s="596" t="e">
        <f>重み!M79</f>
        <v>#DIV/0!</v>
      </c>
      <c r="AF79" s="581"/>
      <c r="AG79" s="596" t="e">
        <f>重み!N79</f>
        <v>#DIV/0!</v>
      </c>
      <c r="AW79"/>
      <c r="AX79"/>
      <c r="AY79"/>
    </row>
    <row r="80" spans="2:61" ht="14.25" customHeight="1">
      <c r="B80" s="694"/>
      <c r="C80" s="684"/>
      <c r="D80" s="656">
        <v>1</v>
      </c>
      <c r="E80" s="648" t="s">
        <v>3380</v>
      </c>
      <c r="F80" s="685"/>
      <c r="G80" s="2571" t="s">
        <v>3232</v>
      </c>
      <c r="H80" s="2571" t="s">
        <v>3232</v>
      </c>
      <c r="I80" s="3096"/>
      <c r="J80" s="3097"/>
      <c r="K80" s="3097"/>
      <c r="L80" s="3097"/>
      <c r="M80" s="3098"/>
      <c r="N80" s="2948">
        <v>3</v>
      </c>
      <c r="O80" s="658">
        <f t="shared" si="46"/>
        <v>3</v>
      </c>
      <c r="P80" s="728" t="e">
        <f t="shared" ref="P80:P109" si="55">Z80</f>
        <v>#DIV/0!</v>
      </c>
      <c r="Q80" s="2780"/>
      <c r="R80" s="2788">
        <f t="shared" si="47"/>
        <v>0</v>
      </c>
      <c r="S80" s="641" t="e">
        <f t="shared" ref="S80:S109" si="56">AB80</f>
        <v>#DIV/0!</v>
      </c>
      <c r="T80" s="642"/>
      <c r="U80" s="567"/>
      <c r="V80" s="725">
        <f>IF(採点Q2!F194="対象外",0,採点Q2!F194)</f>
        <v>3</v>
      </c>
      <c r="W80" s="2984"/>
      <c r="Y80" s="660">
        <f t="shared" ref="Y80:Y81" si="57">IF($Y$3=4,N80,V80)</f>
        <v>3</v>
      </c>
      <c r="Z80" s="2611" t="e">
        <f>重み!D80</f>
        <v>#DIV/0!</v>
      </c>
      <c r="AA80" s="660">
        <f t="shared" ref="AA80:AA81" si="58">IF($Y$3=4,Q80,W80)</f>
        <v>0</v>
      </c>
      <c r="AB80" s="2611" t="e">
        <f>重み!E80</f>
        <v>#DIV/0!</v>
      </c>
      <c r="AC80" s="2610"/>
      <c r="AD80" s="567"/>
      <c r="AE80" s="596" t="e">
        <f>重み!M80</f>
        <v>#DIV/0!</v>
      </c>
      <c r="AF80" s="581"/>
      <c r="AG80" s="596" t="e">
        <f>重み!N80</f>
        <v>#DIV/0!</v>
      </c>
      <c r="AW80"/>
      <c r="AX80"/>
      <c r="AY80"/>
    </row>
    <row r="81" spans="2:51" ht="14.25" customHeight="1" thickBot="1">
      <c r="B81" s="694"/>
      <c r="C81" s="693"/>
      <c r="D81" s="656">
        <v>2</v>
      </c>
      <c r="E81" s="648" t="s">
        <v>3379</v>
      </c>
      <c r="F81" s="685"/>
      <c r="G81" s="2571" t="s">
        <v>3232</v>
      </c>
      <c r="H81" s="2571" t="s">
        <v>3232</v>
      </c>
      <c r="I81" s="3096" t="s">
        <v>3567</v>
      </c>
      <c r="J81" s="3097"/>
      <c r="K81" s="3097"/>
      <c r="L81" s="3097"/>
      <c r="M81" s="3098"/>
      <c r="N81" s="2952">
        <v>3</v>
      </c>
      <c r="O81" s="663">
        <f t="shared" si="46"/>
        <v>4</v>
      </c>
      <c r="P81" s="728" t="e">
        <f t="shared" si="55"/>
        <v>#DIV/0!</v>
      </c>
      <c r="Q81" s="2780"/>
      <c r="R81" s="2788">
        <f t="shared" si="47"/>
        <v>0</v>
      </c>
      <c r="S81" s="641" t="e">
        <f t="shared" si="56"/>
        <v>#DIV/0!</v>
      </c>
      <c r="T81" s="642"/>
      <c r="U81" s="567"/>
      <c r="V81" s="725">
        <f>IF(採点Q2!K194="対象外",0,採点Q2!K194)</f>
        <v>4</v>
      </c>
      <c r="W81" s="2984"/>
      <c r="Y81" s="660">
        <f t="shared" si="57"/>
        <v>4</v>
      </c>
      <c r="Z81" s="2611" t="e">
        <f>重み!D81</f>
        <v>#DIV/0!</v>
      </c>
      <c r="AA81" s="660">
        <f t="shared" si="58"/>
        <v>0</v>
      </c>
      <c r="AB81" s="2611" t="e">
        <f>重み!E81</f>
        <v>#DIV/0!</v>
      </c>
      <c r="AC81" s="2610"/>
      <c r="AD81" s="567"/>
      <c r="AE81" s="596" t="e">
        <f>重み!M81</f>
        <v>#DIV/0!</v>
      </c>
      <c r="AF81" s="581"/>
      <c r="AG81" s="596" t="e">
        <f>重み!N81</f>
        <v>#DIV/0!</v>
      </c>
      <c r="AW81"/>
      <c r="AX81"/>
      <c r="AY81"/>
    </row>
    <row r="82" spans="2:51" ht="14.25" customHeight="1" thickBot="1">
      <c r="B82" s="694"/>
      <c r="C82" s="664">
        <v>2.2000000000000002</v>
      </c>
      <c r="D82" s="678" t="s">
        <v>2216</v>
      </c>
      <c r="E82" s="679"/>
      <c r="F82" s="680"/>
      <c r="G82" s="2572"/>
      <c r="H82" s="2572"/>
      <c r="I82" s="636"/>
      <c r="J82" s="637"/>
      <c r="K82" s="637"/>
      <c r="L82" s="637"/>
      <c r="M82" s="638"/>
      <c r="N82" s="695" t="e">
        <f>ROUNDDOWN(Y82,1)</f>
        <v>#DIV/0!</v>
      </c>
      <c r="O82" s="695" t="e">
        <f t="shared" si="46"/>
        <v>#DIV/0!</v>
      </c>
      <c r="P82" s="640" t="e">
        <f>Z82</f>
        <v>#DIV/0!</v>
      </c>
      <c r="Q82" s="2779" t="e">
        <f>ROUNDDOWN(AA82,1)</f>
        <v>#DIV/0!</v>
      </c>
      <c r="R82" s="2790" t="e">
        <f t="shared" si="47"/>
        <v>#DIV/0!</v>
      </c>
      <c r="S82" s="641" t="e">
        <f t="shared" si="56"/>
        <v>#DIV/0!</v>
      </c>
      <c r="T82" s="642"/>
      <c r="U82" s="567"/>
      <c r="V82" s="730"/>
      <c r="W82" s="2984"/>
      <c r="Y82" s="643" t="e">
        <f>SUMPRODUCT(Y83:Y88,Z83:Z88)</f>
        <v>#DIV/0!</v>
      </c>
      <c r="Z82" s="2611" t="e">
        <f>重み!D82</f>
        <v>#DIV/0!</v>
      </c>
      <c r="AA82" s="643" t="e">
        <f>SUMPRODUCT(AA83:AA88,AB83:AB88)</f>
        <v>#DIV/0!</v>
      </c>
      <c r="AB82" s="2611" t="e">
        <f>重み!E82</f>
        <v>#DIV/0!</v>
      </c>
      <c r="AC82" s="617"/>
      <c r="AD82" s="567"/>
      <c r="AE82" s="596" t="e">
        <f>重み!M82</f>
        <v>#DIV/0!</v>
      </c>
      <c r="AF82" s="581"/>
      <c r="AG82" s="596" t="e">
        <f>重み!N82</f>
        <v>#DIV/0!</v>
      </c>
      <c r="AW82"/>
      <c r="AX82"/>
      <c r="AY82"/>
    </row>
    <row r="83" spans="2:51" ht="14.25" customHeight="1">
      <c r="B83" s="694"/>
      <c r="C83" s="684"/>
      <c r="D83" s="656">
        <v>1</v>
      </c>
      <c r="E83" s="648" t="s">
        <v>786</v>
      </c>
      <c r="F83" s="685"/>
      <c r="G83" s="2571" t="s">
        <v>3233</v>
      </c>
      <c r="H83" s="2571" t="s">
        <v>3233</v>
      </c>
      <c r="I83" s="3096"/>
      <c r="J83" s="3097"/>
      <c r="K83" s="3097"/>
      <c r="L83" s="3097"/>
      <c r="M83" s="3098"/>
      <c r="N83" s="2948">
        <v>0</v>
      </c>
      <c r="O83" s="658">
        <f t="shared" si="46"/>
        <v>3</v>
      </c>
      <c r="P83" s="728" t="e">
        <f t="shared" si="55"/>
        <v>#DIV/0!</v>
      </c>
      <c r="Q83" s="2780"/>
      <c r="R83" s="2788">
        <f t="shared" si="47"/>
        <v>0</v>
      </c>
      <c r="S83" s="641" t="e">
        <f t="shared" si="56"/>
        <v>#DIV/0!</v>
      </c>
      <c r="T83" s="642"/>
      <c r="U83" s="567"/>
      <c r="V83" s="2621">
        <f>IF(採点Q2!F204="対象外",0,採点Q2!F204)</f>
        <v>3</v>
      </c>
      <c r="W83" s="2984"/>
      <c r="Y83" s="660">
        <f t="shared" ref="Y83:Y88" si="59">IF($Y$3=4,N83,V83)</f>
        <v>3</v>
      </c>
      <c r="Z83" s="2611" t="e">
        <f>重み!D83</f>
        <v>#DIV/0!</v>
      </c>
      <c r="AA83" s="660">
        <f t="shared" ref="AA83:AA88" si="60">IF($Y$3=4,Q83,W83)</f>
        <v>0</v>
      </c>
      <c r="AB83" s="2611" t="e">
        <f>重み!E83</f>
        <v>#DIV/0!</v>
      </c>
      <c r="AC83" s="2610"/>
      <c r="AD83" s="567"/>
      <c r="AE83" s="596" t="e">
        <f>重み!M83</f>
        <v>#DIV/0!</v>
      </c>
      <c r="AF83" s="581"/>
      <c r="AG83" s="596" t="e">
        <f>重み!N83</f>
        <v>#DIV/0!</v>
      </c>
      <c r="AW83"/>
      <c r="AX83"/>
      <c r="AY83"/>
    </row>
    <row r="84" spans="2:51" ht="14.25" customHeight="1">
      <c r="B84" s="694"/>
      <c r="C84" s="684"/>
      <c r="D84" s="656">
        <v>2</v>
      </c>
      <c r="E84" s="648" t="s">
        <v>787</v>
      </c>
      <c r="F84" s="685"/>
      <c r="G84" s="2571" t="s">
        <v>3233</v>
      </c>
      <c r="H84" s="2571" t="s">
        <v>3233</v>
      </c>
      <c r="I84" s="3096"/>
      <c r="J84" s="3097"/>
      <c r="K84" s="3097"/>
      <c r="L84" s="3097"/>
      <c r="M84" s="3098"/>
      <c r="N84" s="2949">
        <v>0</v>
      </c>
      <c r="O84" s="667">
        <f t="shared" si="46"/>
        <v>3</v>
      </c>
      <c r="P84" s="728" t="e">
        <f t="shared" si="55"/>
        <v>#DIV/0!</v>
      </c>
      <c r="Q84" s="2780"/>
      <c r="R84" s="2788">
        <f t="shared" si="47"/>
        <v>0</v>
      </c>
      <c r="S84" s="641" t="e">
        <f t="shared" si="56"/>
        <v>#DIV/0!</v>
      </c>
      <c r="T84" s="642"/>
      <c r="U84" s="567"/>
      <c r="V84" s="725">
        <f>IF(採点Q2!K204="対象外",0,採点Q2!K204)</f>
        <v>3</v>
      </c>
      <c r="W84" s="2984"/>
      <c r="Y84" s="660">
        <f t="shared" si="59"/>
        <v>3</v>
      </c>
      <c r="Z84" s="2611" t="e">
        <f>重み!D84</f>
        <v>#DIV/0!</v>
      </c>
      <c r="AA84" s="660">
        <f t="shared" si="60"/>
        <v>0</v>
      </c>
      <c r="AB84" s="2611" t="e">
        <f>重み!E84</f>
        <v>#DIV/0!</v>
      </c>
      <c r="AC84" s="2610"/>
      <c r="AD84" s="567"/>
      <c r="AE84" s="596" t="e">
        <f>重み!M84</f>
        <v>#DIV/0!</v>
      </c>
      <c r="AF84" s="581"/>
      <c r="AG84" s="596" t="e">
        <f>重み!N84</f>
        <v>#DIV/0!</v>
      </c>
      <c r="AW84"/>
      <c r="AX84"/>
      <c r="AY84"/>
    </row>
    <row r="85" spans="2:51" ht="14.25" customHeight="1">
      <c r="B85" s="694"/>
      <c r="C85" s="684"/>
      <c r="D85" s="656">
        <v>3</v>
      </c>
      <c r="E85" s="3112" t="s">
        <v>788</v>
      </c>
      <c r="F85" s="3113"/>
      <c r="G85" s="2571" t="s">
        <v>3233</v>
      </c>
      <c r="H85" s="2571" t="s">
        <v>3233</v>
      </c>
      <c r="I85" s="3096"/>
      <c r="J85" s="3097"/>
      <c r="K85" s="3097"/>
      <c r="L85" s="3097"/>
      <c r="M85" s="3098"/>
      <c r="N85" s="2949">
        <v>0</v>
      </c>
      <c r="O85" s="667">
        <f t="shared" si="46"/>
        <v>3</v>
      </c>
      <c r="P85" s="728" t="e">
        <f t="shared" si="55"/>
        <v>#DIV/0!</v>
      </c>
      <c r="Q85" s="2780"/>
      <c r="R85" s="2788">
        <f t="shared" si="47"/>
        <v>0</v>
      </c>
      <c r="S85" s="641" t="e">
        <f t="shared" si="56"/>
        <v>#DIV/0!</v>
      </c>
      <c r="T85" s="642"/>
      <c r="U85" s="567"/>
      <c r="V85" s="725">
        <f>IF(採点Q2!F213="対象外",0,採点Q2!F213)</f>
        <v>3</v>
      </c>
      <c r="W85" s="2984"/>
      <c r="Y85" s="660">
        <f t="shared" si="59"/>
        <v>3</v>
      </c>
      <c r="Z85" s="2611" t="e">
        <f>重み!D85</f>
        <v>#DIV/0!</v>
      </c>
      <c r="AA85" s="660">
        <f t="shared" si="60"/>
        <v>0</v>
      </c>
      <c r="AB85" s="2611" t="e">
        <f>重み!E85</f>
        <v>#DIV/0!</v>
      </c>
      <c r="AC85" s="2610"/>
      <c r="AD85" s="567"/>
      <c r="AE85" s="596" t="e">
        <f>重み!M85</f>
        <v>#DIV/0!</v>
      </c>
      <c r="AF85" s="581"/>
      <c r="AG85" s="596" t="e">
        <f>重み!N85</f>
        <v>#DIV/0!</v>
      </c>
      <c r="AW85"/>
      <c r="AX85"/>
      <c r="AY85"/>
    </row>
    <row r="86" spans="2:51" ht="14.25" customHeight="1">
      <c r="B86" s="694"/>
      <c r="C86" s="684"/>
      <c r="D86" s="656">
        <v>4</v>
      </c>
      <c r="E86" s="648" t="s">
        <v>789</v>
      </c>
      <c r="F86" s="685"/>
      <c r="G86" s="2571" t="s">
        <v>3233</v>
      </c>
      <c r="H86" s="2571" t="s">
        <v>3233</v>
      </c>
      <c r="I86" s="3096"/>
      <c r="J86" s="3097"/>
      <c r="K86" s="3097"/>
      <c r="L86" s="3097"/>
      <c r="M86" s="3098"/>
      <c r="N86" s="2949">
        <v>0</v>
      </c>
      <c r="O86" s="667">
        <f t="shared" si="46"/>
        <v>3</v>
      </c>
      <c r="P86" s="728" t="e">
        <f t="shared" si="55"/>
        <v>#DIV/0!</v>
      </c>
      <c r="Q86" s="2780"/>
      <c r="R86" s="2788">
        <f t="shared" si="47"/>
        <v>0</v>
      </c>
      <c r="S86" s="641" t="e">
        <f t="shared" si="56"/>
        <v>#DIV/0!</v>
      </c>
      <c r="T86" s="642"/>
      <c r="U86" s="567"/>
      <c r="V86" s="725">
        <f>IF(採点Q2!K213="対象外",0,採点Q2!K213)</f>
        <v>3</v>
      </c>
      <c r="W86" s="2984"/>
      <c r="Y86" s="660">
        <f t="shared" si="59"/>
        <v>3</v>
      </c>
      <c r="Z86" s="2611" t="e">
        <f>重み!D86</f>
        <v>#DIV/0!</v>
      </c>
      <c r="AA86" s="660">
        <f t="shared" si="60"/>
        <v>0</v>
      </c>
      <c r="AB86" s="2611" t="e">
        <f>重み!E86</f>
        <v>#DIV/0!</v>
      </c>
      <c r="AC86" s="2610"/>
      <c r="AD86" s="567"/>
      <c r="AE86" s="596" t="e">
        <f>重み!M86</f>
        <v>#DIV/0!</v>
      </c>
      <c r="AF86" s="581"/>
      <c r="AG86" s="596" t="e">
        <f>重み!N86</f>
        <v>#DIV/0!</v>
      </c>
      <c r="AW86"/>
      <c r="AX86"/>
      <c r="AY86"/>
    </row>
    <row r="87" spans="2:51" ht="14.25" customHeight="1">
      <c r="B87" s="694"/>
      <c r="C87" s="684"/>
      <c r="D87" s="656">
        <v>5</v>
      </c>
      <c r="E87" s="3112" t="s">
        <v>790</v>
      </c>
      <c r="F87" s="3113"/>
      <c r="G87" s="2571" t="s">
        <v>3233</v>
      </c>
      <c r="H87" s="2571" t="s">
        <v>3233</v>
      </c>
      <c r="I87" s="3096"/>
      <c r="J87" s="3097"/>
      <c r="K87" s="3097"/>
      <c r="L87" s="3097"/>
      <c r="M87" s="3098"/>
      <c r="N87" s="2949">
        <v>0</v>
      </c>
      <c r="O87" s="667">
        <f t="shared" si="46"/>
        <v>3</v>
      </c>
      <c r="P87" s="728" t="e">
        <f t="shared" si="55"/>
        <v>#DIV/0!</v>
      </c>
      <c r="Q87" s="2780"/>
      <c r="R87" s="2788">
        <f t="shared" si="47"/>
        <v>0</v>
      </c>
      <c r="S87" s="641" t="e">
        <f t="shared" si="56"/>
        <v>#DIV/0!</v>
      </c>
      <c r="T87" s="642"/>
      <c r="U87" s="567"/>
      <c r="V87" s="725">
        <f>IF(採点Q2!F222="対象外",0,採点Q2!F222)</f>
        <v>3</v>
      </c>
      <c r="W87" s="2984"/>
      <c r="Y87" s="660">
        <f t="shared" si="59"/>
        <v>3</v>
      </c>
      <c r="Z87" s="2611" t="e">
        <f>重み!D87</f>
        <v>#DIV/0!</v>
      </c>
      <c r="AA87" s="660">
        <f t="shared" si="60"/>
        <v>0</v>
      </c>
      <c r="AB87" s="2611" t="e">
        <f>重み!E87</f>
        <v>#DIV/0!</v>
      </c>
      <c r="AC87" s="2610"/>
      <c r="AD87" s="567"/>
      <c r="AE87" s="596" t="e">
        <f>重み!M87</f>
        <v>#DIV/0!</v>
      </c>
      <c r="AF87" s="581"/>
      <c r="AG87" s="596" t="e">
        <f>重み!N87</f>
        <v>#DIV/0!</v>
      </c>
      <c r="AW87"/>
      <c r="AX87"/>
      <c r="AY87"/>
    </row>
    <row r="88" spans="2:51" ht="14.25" customHeight="1" thickBot="1">
      <c r="B88" s="694"/>
      <c r="C88" s="693"/>
      <c r="D88" s="656">
        <v>6</v>
      </c>
      <c r="E88" s="648" t="s">
        <v>791</v>
      </c>
      <c r="F88" s="685"/>
      <c r="G88" s="2570" t="s">
        <v>3233</v>
      </c>
      <c r="H88" s="2570" t="s">
        <v>3233</v>
      </c>
      <c r="I88" s="3096"/>
      <c r="J88" s="3097"/>
      <c r="K88" s="3097"/>
      <c r="L88" s="3097"/>
      <c r="M88" s="3098"/>
      <c r="N88" s="2952">
        <v>0</v>
      </c>
      <c r="O88" s="663">
        <f t="shared" si="46"/>
        <v>3</v>
      </c>
      <c r="P88" s="732" t="e">
        <f t="shared" si="55"/>
        <v>#DIV/0!</v>
      </c>
      <c r="Q88" s="2781"/>
      <c r="R88" s="2783">
        <f t="shared" si="47"/>
        <v>0</v>
      </c>
      <c r="S88" s="722" t="e">
        <f t="shared" si="56"/>
        <v>#DIV/0!</v>
      </c>
      <c r="T88" s="723"/>
      <c r="U88" s="567"/>
      <c r="V88" s="2622">
        <f>IF(採点Q2!K222="対象外",0,採点Q2!K222)</f>
        <v>3</v>
      </c>
      <c r="W88" s="2984"/>
      <c r="Y88" s="660">
        <f t="shared" si="59"/>
        <v>3</v>
      </c>
      <c r="Z88" s="2611" t="e">
        <f>重み!D88</f>
        <v>#DIV/0!</v>
      </c>
      <c r="AA88" s="660">
        <f t="shared" si="60"/>
        <v>0</v>
      </c>
      <c r="AB88" s="2611" t="e">
        <f>重み!E88</f>
        <v>#DIV/0!</v>
      </c>
      <c r="AC88" s="2610"/>
      <c r="AD88" s="567"/>
      <c r="AE88" s="596" t="e">
        <f>重み!M88</f>
        <v>#DIV/0!</v>
      </c>
      <c r="AF88" s="581"/>
      <c r="AG88" s="596" t="e">
        <f>重み!N88</f>
        <v>#DIV/0!</v>
      </c>
      <c r="AW88"/>
      <c r="AX88"/>
      <c r="AY88"/>
    </row>
    <row r="89" spans="2:51" ht="14.25" hidden="1" customHeight="1" thickBot="1">
      <c r="B89" s="694"/>
      <c r="C89" s="2642">
        <v>2.2999999999999998</v>
      </c>
      <c r="D89" s="2643" t="s">
        <v>792</v>
      </c>
      <c r="E89" s="2644"/>
      <c r="F89" s="2645"/>
      <c r="G89" s="2569"/>
      <c r="H89" s="2569"/>
      <c r="I89" s="650"/>
      <c r="J89" s="651"/>
      <c r="K89" s="651"/>
      <c r="L89" s="651"/>
      <c r="M89" s="3010"/>
      <c r="N89" s="695" t="e">
        <f>ROUNDDOWN(Y89,1)</f>
        <v>#DIV/0!</v>
      </c>
      <c r="O89" s="695" t="e">
        <f t="shared" si="46"/>
        <v>#DIV/0!</v>
      </c>
      <c r="P89" s="681" t="e">
        <f>Z89</f>
        <v>#DIV/0!</v>
      </c>
      <c r="Q89" s="2782" t="e">
        <f>ROUNDDOWN(AA89,1)</f>
        <v>#DIV/0!</v>
      </c>
      <c r="R89" s="2963" t="e">
        <f t="shared" si="47"/>
        <v>#DIV/0!</v>
      </c>
      <c r="S89" s="683" t="e">
        <f t="shared" si="56"/>
        <v>#DIV/0!</v>
      </c>
      <c r="T89" s="654"/>
      <c r="U89" s="567"/>
      <c r="V89" s="730"/>
      <c r="W89" s="2984"/>
      <c r="Y89" s="643" t="e">
        <f>SUMPRODUCT(Y90:Y92,Z90:Z92)</f>
        <v>#DIV/0!</v>
      </c>
      <c r="Z89" s="2611" t="e">
        <f>重み!D89</f>
        <v>#DIV/0!</v>
      </c>
      <c r="AA89" s="643" t="e">
        <f>SUMPRODUCT(AA90:AA92,AB90:AB92)</f>
        <v>#DIV/0!</v>
      </c>
      <c r="AB89" s="2611" t="e">
        <f>重み!E89</f>
        <v>#DIV/0!</v>
      </c>
      <c r="AC89" s="617"/>
      <c r="AD89" s="567"/>
      <c r="AE89" s="596" t="e">
        <f>重み!M89</f>
        <v>#DIV/0!</v>
      </c>
      <c r="AF89" s="581"/>
      <c r="AG89" s="596" t="e">
        <f>重み!N89</f>
        <v>#DIV/0!</v>
      </c>
      <c r="AW89"/>
      <c r="AX89"/>
      <c r="AY89"/>
    </row>
    <row r="90" spans="2:51" ht="14.25" hidden="1" customHeight="1">
      <c r="B90" s="694"/>
      <c r="C90" s="2646"/>
      <c r="D90" s="2639">
        <v>1</v>
      </c>
      <c r="E90" s="2640" t="s">
        <v>81</v>
      </c>
      <c r="F90" s="2641"/>
      <c r="G90" s="2597"/>
      <c r="H90" s="2597"/>
      <c r="I90" s="3096"/>
      <c r="J90" s="3097"/>
      <c r="K90" s="3097"/>
      <c r="L90" s="3097"/>
      <c r="M90" s="3098"/>
      <c r="N90" s="2948">
        <v>0</v>
      </c>
      <c r="O90" s="658">
        <f t="shared" si="46"/>
        <v>3</v>
      </c>
      <c r="P90" s="728" t="e">
        <f t="shared" si="55"/>
        <v>#DIV/0!</v>
      </c>
      <c r="Q90" s="2780"/>
      <c r="R90" s="2788">
        <f t="shared" si="47"/>
        <v>0</v>
      </c>
      <c r="S90" s="641" t="e">
        <f t="shared" si="56"/>
        <v>#DIV/0!</v>
      </c>
      <c r="T90" s="642"/>
      <c r="U90" s="567"/>
      <c r="V90" s="2621">
        <f>採点Q2!F232</f>
        <v>3</v>
      </c>
      <c r="W90" s="2984"/>
      <c r="Y90" s="660">
        <f t="shared" ref="Y90:Y92" si="61">IF($Y$3=4,N90,V90)</f>
        <v>3</v>
      </c>
      <c r="Z90" s="2611" t="e">
        <f>重み!D90</f>
        <v>#DIV/0!</v>
      </c>
      <c r="AA90" s="660">
        <f t="shared" ref="AA90:AA92" si="62">IF($Y$3=4,Q90,W90)</f>
        <v>0</v>
      </c>
      <c r="AB90" s="2611" t="e">
        <f>重み!E90</f>
        <v>#DIV/0!</v>
      </c>
      <c r="AC90" s="2610"/>
      <c r="AD90" s="567"/>
      <c r="AE90" s="596" t="e">
        <f>重み!M90</f>
        <v>#DIV/0!</v>
      </c>
      <c r="AF90" s="581"/>
      <c r="AG90" s="596" t="e">
        <f>重み!N90</f>
        <v>#DIV/0!</v>
      </c>
      <c r="AW90"/>
      <c r="AX90"/>
      <c r="AY90"/>
    </row>
    <row r="91" spans="2:51" ht="14.25" hidden="1" customHeight="1">
      <c r="B91" s="694"/>
      <c r="C91" s="2646"/>
      <c r="D91" s="2639">
        <v>2</v>
      </c>
      <c r="E91" s="2640" t="s">
        <v>82</v>
      </c>
      <c r="F91" s="2641"/>
      <c r="G91" s="2597"/>
      <c r="H91" s="2597"/>
      <c r="I91" s="3096"/>
      <c r="J91" s="3097"/>
      <c r="K91" s="3097"/>
      <c r="L91" s="3097"/>
      <c r="M91" s="3098"/>
      <c r="N91" s="2949">
        <v>0</v>
      </c>
      <c r="O91" s="667">
        <f t="shared" si="46"/>
        <v>3</v>
      </c>
      <c r="P91" s="728" t="e">
        <f t="shared" si="55"/>
        <v>#DIV/0!</v>
      </c>
      <c r="Q91" s="2780"/>
      <c r="R91" s="2788">
        <f t="shared" si="47"/>
        <v>0</v>
      </c>
      <c r="S91" s="641" t="e">
        <f t="shared" si="56"/>
        <v>#DIV/0!</v>
      </c>
      <c r="T91" s="642"/>
      <c r="U91" s="567"/>
      <c r="V91" s="725">
        <f>採点Q2!K232</f>
        <v>3</v>
      </c>
      <c r="W91" s="2984"/>
      <c r="Y91" s="660">
        <f t="shared" si="61"/>
        <v>3</v>
      </c>
      <c r="Z91" s="2611" t="e">
        <f>重み!D91</f>
        <v>#DIV/0!</v>
      </c>
      <c r="AA91" s="660">
        <f t="shared" si="62"/>
        <v>0</v>
      </c>
      <c r="AB91" s="2611" t="e">
        <f>重み!E91</f>
        <v>#DIV/0!</v>
      </c>
      <c r="AC91" s="2610"/>
      <c r="AD91" s="567"/>
      <c r="AE91" s="596" t="e">
        <f>重み!M91</f>
        <v>#DIV/0!</v>
      </c>
      <c r="AF91" s="581"/>
      <c r="AG91" s="596" t="e">
        <f>重み!N91</f>
        <v>#DIV/0!</v>
      </c>
      <c r="AW91"/>
      <c r="AX91"/>
      <c r="AY91"/>
    </row>
    <row r="92" spans="2:51" ht="14.25" hidden="1" customHeight="1" thickBot="1">
      <c r="B92" s="694"/>
      <c r="C92" s="2647"/>
      <c r="D92" s="2639">
        <v>3</v>
      </c>
      <c r="E92" s="2640" t="s">
        <v>83</v>
      </c>
      <c r="F92" s="2641"/>
      <c r="G92" s="2597"/>
      <c r="H92" s="2597"/>
      <c r="I92" s="3096"/>
      <c r="J92" s="3097"/>
      <c r="K92" s="3097"/>
      <c r="L92" s="3097"/>
      <c r="M92" s="3098"/>
      <c r="N92" s="2952">
        <v>0</v>
      </c>
      <c r="O92" s="663">
        <f t="shared" si="46"/>
        <v>3</v>
      </c>
      <c r="P92" s="728" t="e">
        <f t="shared" si="55"/>
        <v>#DIV/0!</v>
      </c>
      <c r="Q92" s="2780"/>
      <c r="R92" s="2788">
        <f t="shared" si="47"/>
        <v>0</v>
      </c>
      <c r="S92" s="641" t="e">
        <f t="shared" si="56"/>
        <v>#DIV/0!</v>
      </c>
      <c r="T92" s="642"/>
      <c r="U92" s="567"/>
      <c r="V92" s="2622">
        <f>採点Q2!F241</f>
        <v>3</v>
      </c>
      <c r="W92" s="2984"/>
      <c r="Y92" s="660">
        <f t="shared" si="61"/>
        <v>3</v>
      </c>
      <c r="Z92" s="2611" t="e">
        <f>重み!D92</f>
        <v>#DIV/0!</v>
      </c>
      <c r="AA92" s="660">
        <f t="shared" si="62"/>
        <v>0</v>
      </c>
      <c r="AB92" s="2611" t="e">
        <f>重み!E92</f>
        <v>#DIV/0!</v>
      </c>
      <c r="AC92" s="2610"/>
      <c r="AD92" s="567"/>
      <c r="AE92" s="596" t="e">
        <f>重み!M92</f>
        <v>#DIV/0!</v>
      </c>
      <c r="AF92" s="581"/>
      <c r="AG92" s="596" t="e">
        <f>重み!N92</f>
        <v>#DIV/0!</v>
      </c>
      <c r="AW92"/>
      <c r="AX92"/>
      <c r="AY92"/>
    </row>
    <row r="93" spans="2:51" ht="14.25" customHeight="1" thickBot="1">
      <c r="B93" s="645"/>
      <c r="C93" s="646">
        <v>2.4</v>
      </c>
      <c r="D93" s="678" t="s">
        <v>84</v>
      </c>
      <c r="E93" s="679"/>
      <c r="F93" s="680"/>
      <c r="G93" s="2572"/>
      <c r="H93" s="2572"/>
      <c r="I93" s="636"/>
      <c r="J93" s="637"/>
      <c r="K93" s="637"/>
      <c r="L93" s="637"/>
      <c r="M93" s="638"/>
      <c r="N93" s="695" t="e">
        <f>ROUNDDOWN(Y93,1)</f>
        <v>#DIV/0!</v>
      </c>
      <c r="O93" s="695" t="e">
        <f t="shared" si="46"/>
        <v>#DIV/0!</v>
      </c>
      <c r="P93" s="640" t="e">
        <f>Z93</f>
        <v>#DIV/0!</v>
      </c>
      <c r="Q93" s="2779" t="e">
        <f>ROUNDDOWN(AA93,1)</f>
        <v>#DIV/0!</v>
      </c>
      <c r="R93" s="2790" t="e">
        <f t="shared" si="47"/>
        <v>#DIV/0!</v>
      </c>
      <c r="S93" s="641" t="e">
        <f t="shared" si="56"/>
        <v>#DIV/0!</v>
      </c>
      <c r="T93" s="642"/>
      <c r="U93" s="567"/>
      <c r="V93" s="2984"/>
      <c r="W93" s="2984"/>
      <c r="Y93" s="643" t="e">
        <f>SUMPRODUCT(Y94:Y98,Z94:Z98)</f>
        <v>#DIV/0!</v>
      </c>
      <c r="Z93" s="2611" t="e">
        <f>重み!D93</f>
        <v>#DIV/0!</v>
      </c>
      <c r="AA93" s="643" t="e">
        <f>SUMPRODUCT(AA94:AA98,AB94:AB98)</f>
        <v>#DIV/0!</v>
      </c>
      <c r="AB93" s="2611" t="e">
        <f>重み!E93</f>
        <v>#DIV/0!</v>
      </c>
      <c r="AC93" s="617"/>
      <c r="AD93" s="567"/>
      <c r="AE93" s="596" t="e">
        <f>重み!M93</f>
        <v>#DIV/0!</v>
      </c>
      <c r="AF93" s="581"/>
      <c r="AG93" s="596" t="e">
        <f>重み!N93</f>
        <v>#DIV/0!</v>
      </c>
      <c r="AW93"/>
      <c r="AX93"/>
      <c r="AY93"/>
    </row>
    <row r="94" spans="2:51" ht="14.25" customHeight="1">
      <c r="B94" s="645"/>
      <c r="C94" s="684"/>
      <c r="D94" s="656">
        <v>1</v>
      </c>
      <c r="E94" s="648" t="s">
        <v>85</v>
      </c>
      <c r="F94" s="685"/>
      <c r="G94" s="2571" t="s">
        <v>3234</v>
      </c>
      <c r="H94" s="2571" t="s">
        <v>3234</v>
      </c>
      <c r="I94" s="3096"/>
      <c r="J94" s="3097"/>
      <c r="K94" s="3097"/>
      <c r="L94" s="3097"/>
      <c r="M94" s="3098"/>
      <c r="N94" s="2948">
        <v>3</v>
      </c>
      <c r="O94" s="658" t="e">
        <f t="shared" si="46"/>
        <v>#DIV/0!</v>
      </c>
      <c r="P94" s="728" t="e">
        <f t="shared" si="55"/>
        <v>#DIV/0!</v>
      </c>
      <c r="Q94" s="2780"/>
      <c r="R94" s="2788">
        <f t="shared" si="47"/>
        <v>0</v>
      </c>
      <c r="S94" s="641" t="e">
        <f t="shared" si="56"/>
        <v>#DIV/0!</v>
      </c>
      <c r="T94" s="642"/>
      <c r="U94" s="567"/>
      <c r="V94" s="2621" t="e">
        <f>IF(採点Q2!F251="対象外",0,採点Q2!F251)</f>
        <v>#DIV/0!</v>
      </c>
      <c r="W94" s="2984"/>
      <c r="Y94" s="660" t="e">
        <f>IF($Y$3=4,N94,V94)</f>
        <v>#DIV/0!</v>
      </c>
      <c r="Z94" s="2611" t="e">
        <f>重み!D94</f>
        <v>#DIV/0!</v>
      </c>
      <c r="AA94" s="660">
        <f>IF($Y$3=4,Q94,W94)</f>
        <v>0</v>
      </c>
      <c r="AB94" s="2611" t="e">
        <f>重み!E94</f>
        <v>#DIV/0!</v>
      </c>
      <c r="AC94" s="2610"/>
      <c r="AD94" s="567"/>
      <c r="AE94" s="596" t="e">
        <f>重み!M94</f>
        <v>#DIV/0!</v>
      </c>
      <c r="AF94" s="581"/>
      <c r="AG94" s="596" t="e">
        <f>重み!N94</f>
        <v>#DIV/0!</v>
      </c>
      <c r="AW94"/>
      <c r="AX94"/>
      <c r="AY94"/>
    </row>
    <row r="95" spans="2:51" ht="14.25" customHeight="1">
      <c r="B95" s="645"/>
      <c r="C95" s="684"/>
      <c r="D95" s="656">
        <v>2</v>
      </c>
      <c r="E95" s="648" t="s">
        <v>86</v>
      </c>
      <c r="F95" s="685"/>
      <c r="G95" s="2571" t="s">
        <v>3235</v>
      </c>
      <c r="H95" s="2571" t="s">
        <v>3235</v>
      </c>
      <c r="I95" s="3096"/>
      <c r="J95" s="3097"/>
      <c r="K95" s="3097"/>
      <c r="L95" s="3097"/>
      <c r="M95" s="3098"/>
      <c r="N95" s="2949">
        <v>3</v>
      </c>
      <c r="O95" s="667" t="e">
        <f t="shared" si="46"/>
        <v>#DIV/0!</v>
      </c>
      <c r="P95" s="728" t="e">
        <f t="shared" si="55"/>
        <v>#DIV/0!</v>
      </c>
      <c r="Q95" s="2780"/>
      <c r="R95" s="2788">
        <f t="shared" si="47"/>
        <v>0</v>
      </c>
      <c r="S95" s="641" t="e">
        <f t="shared" si="56"/>
        <v>#DIV/0!</v>
      </c>
      <c r="T95" s="642"/>
      <c r="U95" s="567"/>
      <c r="V95" s="725" t="e">
        <f>IF(採点Q2!F270="対象外",0,採点Q2!F270)</f>
        <v>#DIV/0!</v>
      </c>
      <c r="W95" s="2984"/>
      <c r="Y95" s="660" t="e">
        <f t="shared" ref="Y95:Y98" si="63">IF($Y$3=4,N95,V95)</f>
        <v>#DIV/0!</v>
      </c>
      <c r="Z95" s="2611" t="e">
        <f>重み!D95</f>
        <v>#DIV/0!</v>
      </c>
      <c r="AA95" s="660">
        <f t="shared" ref="AA95:AA98" si="64">IF($Y$3=4,Q95,W95)</f>
        <v>0</v>
      </c>
      <c r="AB95" s="2611" t="e">
        <f>重み!E95</f>
        <v>#DIV/0!</v>
      </c>
      <c r="AC95" s="2610"/>
      <c r="AD95" s="567"/>
      <c r="AE95" s="596" t="e">
        <f>重み!M95</f>
        <v>#DIV/0!</v>
      </c>
      <c r="AF95" s="581"/>
      <c r="AG95" s="596" t="e">
        <f>重み!N95</f>
        <v>#DIV/0!</v>
      </c>
      <c r="AW95"/>
      <c r="AX95"/>
      <c r="AY95"/>
    </row>
    <row r="96" spans="2:51" ht="14.25" customHeight="1">
      <c r="B96" s="645"/>
      <c r="C96" s="684"/>
      <c r="D96" s="656">
        <v>3</v>
      </c>
      <c r="E96" s="648" t="s">
        <v>87</v>
      </c>
      <c r="F96" s="685"/>
      <c r="G96" s="2571" t="s">
        <v>3235</v>
      </c>
      <c r="H96" s="2571" t="s">
        <v>3235</v>
      </c>
      <c r="I96" s="3096"/>
      <c r="J96" s="3097"/>
      <c r="K96" s="3097"/>
      <c r="L96" s="3097"/>
      <c r="M96" s="3098"/>
      <c r="N96" s="2949">
        <v>3</v>
      </c>
      <c r="O96" s="667">
        <f t="shared" si="46"/>
        <v>5</v>
      </c>
      <c r="P96" s="728" t="e">
        <f t="shared" si="55"/>
        <v>#DIV/0!</v>
      </c>
      <c r="Q96" s="2780"/>
      <c r="R96" s="2788">
        <f t="shared" si="47"/>
        <v>0</v>
      </c>
      <c r="S96" s="641" t="e">
        <f t="shared" si="56"/>
        <v>#DIV/0!</v>
      </c>
      <c r="T96" s="642"/>
      <c r="U96" s="567"/>
      <c r="V96" s="725">
        <f>IF(採点Q2!F292="対象外",0,採点Q2!F292)</f>
        <v>5</v>
      </c>
      <c r="W96" s="733"/>
      <c r="Y96" s="660">
        <f t="shared" si="63"/>
        <v>5</v>
      </c>
      <c r="Z96" s="2611" t="e">
        <f>重み!D96</f>
        <v>#DIV/0!</v>
      </c>
      <c r="AA96" s="660">
        <f t="shared" si="64"/>
        <v>0</v>
      </c>
      <c r="AB96" s="2611" t="e">
        <f>重み!E96</f>
        <v>#DIV/0!</v>
      </c>
      <c r="AC96" s="2610"/>
      <c r="AD96" s="567"/>
      <c r="AE96" s="596" t="e">
        <f>重み!M96</f>
        <v>#DIV/0!</v>
      </c>
      <c r="AF96" s="581"/>
      <c r="AG96" s="596" t="e">
        <f>重み!N96</f>
        <v>#DIV/0!</v>
      </c>
      <c r="AW96"/>
      <c r="AX96"/>
      <c r="AY96"/>
    </row>
    <row r="97" spans="2:61" ht="14.25" customHeight="1">
      <c r="B97" s="645"/>
      <c r="C97" s="684"/>
      <c r="D97" s="656">
        <v>4</v>
      </c>
      <c r="E97" s="648" t="s">
        <v>1243</v>
      </c>
      <c r="F97" s="685"/>
      <c r="G97" s="2571" t="s">
        <v>3235</v>
      </c>
      <c r="H97" s="2571" t="s">
        <v>3235</v>
      </c>
      <c r="I97" s="3096"/>
      <c r="J97" s="3097"/>
      <c r="K97" s="3097"/>
      <c r="L97" s="3097"/>
      <c r="M97" s="3098"/>
      <c r="N97" s="2949">
        <v>3</v>
      </c>
      <c r="O97" s="667">
        <f t="shared" si="46"/>
        <v>3</v>
      </c>
      <c r="P97" s="728" t="e">
        <f t="shared" si="55"/>
        <v>#DIV/0!</v>
      </c>
      <c r="Q97" s="2780"/>
      <c r="R97" s="2788">
        <f t="shared" si="47"/>
        <v>0</v>
      </c>
      <c r="S97" s="641" t="e">
        <f t="shared" si="56"/>
        <v>#DIV/0!</v>
      </c>
      <c r="T97" s="642"/>
      <c r="U97" s="567"/>
      <c r="V97" s="725">
        <f>IF(採点Q2!F312="対象外",0,採点Q2!F312)</f>
        <v>3</v>
      </c>
      <c r="W97" s="733"/>
      <c r="Y97" s="660">
        <f t="shared" si="63"/>
        <v>3</v>
      </c>
      <c r="Z97" s="2611" t="e">
        <f>重み!D97</f>
        <v>#DIV/0!</v>
      </c>
      <c r="AA97" s="660">
        <f t="shared" si="64"/>
        <v>0</v>
      </c>
      <c r="AB97" s="2611" t="e">
        <f>重み!E97</f>
        <v>#DIV/0!</v>
      </c>
      <c r="AC97" s="2610"/>
      <c r="AD97" s="567"/>
      <c r="AE97" s="596" t="e">
        <f>重み!M97</f>
        <v>#DIV/0!</v>
      </c>
      <c r="AF97" s="581"/>
      <c r="AG97" s="596" t="e">
        <f>重み!N97</f>
        <v>#DIV/0!</v>
      </c>
      <c r="AW97"/>
      <c r="AX97"/>
      <c r="AY97"/>
    </row>
    <row r="98" spans="2:61" ht="14.25" customHeight="1" thickBot="1">
      <c r="B98" s="734"/>
      <c r="C98" s="693"/>
      <c r="D98" s="656">
        <v>5</v>
      </c>
      <c r="E98" s="648" t="s">
        <v>1244</v>
      </c>
      <c r="F98" s="685"/>
      <c r="G98" s="2571" t="s">
        <v>3235</v>
      </c>
      <c r="H98" s="2571" t="s">
        <v>3235</v>
      </c>
      <c r="I98" s="3114"/>
      <c r="J98" s="3115"/>
      <c r="K98" s="3115"/>
      <c r="L98" s="3115"/>
      <c r="M98" s="3116"/>
      <c r="N98" s="2952">
        <v>3</v>
      </c>
      <c r="O98" s="663">
        <f t="shared" si="46"/>
        <v>3</v>
      </c>
      <c r="P98" s="735" t="e">
        <f t="shared" si="55"/>
        <v>#DIV/0!</v>
      </c>
      <c r="Q98" s="2961"/>
      <c r="R98" s="2783">
        <f t="shared" si="47"/>
        <v>0</v>
      </c>
      <c r="S98" s="722" t="e">
        <f t="shared" si="56"/>
        <v>#DIV/0!</v>
      </c>
      <c r="T98" s="723"/>
      <c r="U98" s="567"/>
      <c r="V98" s="2622">
        <f>IF(採点Q2!F321="対象外",0,採点Q2!F321)</f>
        <v>3</v>
      </c>
      <c r="W98" s="733"/>
      <c r="Y98" s="660">
        <f t="shared" si="63"/>
        <v>3</v>
      </c>
      <c r="Z98" s="2611" t="e">
        <f>重み!D98</f>
        <v>#DIV/0!</v>
      </c>
      <c r="AA98" s="660">
        <f t="shared" si="64"/>
        <v>0</v>
      </c>
      <c r="AB98" s="2611" t="e">
        <f>重み!E98</f>
        <v>#DIV/0!</v>
      </c>
      <c r="AC98" s="2610"/>
      <c r="AD98" s="567"/>
      <c r="AE98" s="596" t="e">
        <f>重み!M98</f>
        <v>#DIV/0!</v>
      </c>
      <c r="AF98" s="581"/>
      <c r="AG98" s="596" t="e">
        <f>重み!N98</f>
        <v>#DIV/0!</v>
      </c>
      <c r="AW98"/>
      <c r="AX98"/>
      <c r="AY98"/>
    </row>
    <row r="99" spans="2:61" ht="14.25" hidden="1" customHeight="1">
      <c r="B99" s="645"/>
      <c r="C99" s="736"/>
      <c r="D99" s="737"/>
      <c r="E99" s="738"/>
      <c r="F99" s="635"/>
      <c r="G99" s="2568"/>
      <c r="H99" s="2568"/>
      <c r="I99" s="3107"/>
      <c r="J99" s="3108"/>
      <c r="K99" s="3108"/>
      <c r="L99" s="3108"/>
      <c r="M99" s="3109"/>
      <c r="N99" s="739"/>
      <c r="O99" s="739">
        <f t="shared" si="46"/>
        <v>0</v>
      </c>
      <c r="P99" s="640">
        <f t="shared" si="55"/>
        <v>0</v>
      </c>
      <c r="Q99" s="729"/>
      <c r="R99" s="739">
        <f t="shared" si="47"/>
        <v>0</v>
      </c>
      <c r="S99" s="641">
        <f t="shared" si="56"/>
        <v>0</v>
      </c>
      <c r="T99" s="642"/>
      <c r="U99" s="567"/>
      <c r="V99" s="730"/>
      <c r="W99" s="2984"/>
      <c r="Y99" s="690"/>
      <c r="Z99" s="2611">
        <f>重み!D99</f>
        <v>0</v>
      </c>
      <c r="AA99" s="690"/>
      <c r="AB99" s="2611">
        <f>重み!E99</f>
        <v>0</v>
      </c>
      <c r="AC99" s="617"/>
      <c r="AD99" s="567"/>
      <c r="AE99" s="596" t="e">
        <f>重み!M99</f>
        <v>#DIV/0!</v>
      </c>
      <c r="AF99" s="581"/>
      <c r="AG99" s="596">
        <f>重み!N99</f>
        <v>0</v>
      </c>
      <c r="AS99" s="2377">
        <f t="shared" si="40"/>
        <v>0</v>
      </c>
    </row>
    <row r="100" spans="2:61" ht="14.25" customHeight="1">
      <c r="B100" s="726">
        <v>3</v>
      </c>
      <c r="C100" s="740" t="s">
        <v>1245</v>
      </c>
      <c r="D100" s="740"/>
      <c r="E100" s="740"/>
      <c r="F100" s="680"/>
      <c r="G100" s="2582"/>
      <c r="H100" s="2582"/>
      <c r="I100" s="650"/>
      <c r="J100" s="651"/>
      <c r="K100" s="651"/>
      <c r="L100" s="651"/>
      <c r="M100" s="3010"/>
      <c r="N100" s="741" t="e">
        <f t="shared" ref="N100:N101" si="65">ROUNDDOWN(Y100,1)</f>
        <v>#DIV/0!</v>
      </c>
      <c r="O100" s="741" t="e">
        <f t="shared" si="46"/>
        <v>#DIV/0!</v>
      </c>
      <c r="P100" s="675" t="e">
        <f t="shared" si="55"/>
        <v>#DIV/0!</v>
      </c>
      <c r="Q100" s="2962" t="e">
        <f t="shared" ref="Q100:Q101" si="66">ROUNDDOWN(AA100,1)</f>
        <v>#DIV/0!</v>
      </c>
      <c r="R100" s="741" t="e">
        <f t="shared" si="47"/>
        <v>#DIV/0!</v>
      </c>
      <c r="S100" s="676" t="e">
        <f t="shared" si="56"/>
        <v>#DIV/0!</v>
      </c>
      <c r="T100" s="677" t="e">
        <f>ROUNDDOWN(AC100,1)</f>
        <v>#DIV/0!</v>
      </c>
      <c r="U100" s="567"/>
      <c r="V100" s="742"/>
      <c r="W100" s="2982"/>
      <c r="Y100" s="2978" t="e">
        <f>Y101*Z101+Y104*Z104+Y105*Z105</f>
        <v>#DIV/0!</v>
      </c>
      <c r="Z100" s="2611" t="e">
        <f>重み!D100</f>
        <v>#DIV/0!</v>
      </c>
      <c r="AA100" s="2978" t="e">
        <f>AA101*AB101+AA104*AB104+AA105*AB105</f>
        <v>#DIV/0!</v>
      </c>
      <c r="AB100" s="644" t="e">
        <f>SUM(AB101,AB104,AB105)</f>
        <v>#DIV/0!</v>
      </c>
      <c r="AC100" s="617" t="e">
        <f>IF(AA100=0,Y100,IF(Y100=0,AA100,Y100*AE$6+AA100*AG$6))</f>
        <v>#DIV/0!</v>
      </c>
      <c r="AD100" s="567"/>
      <c r="AE100" s="596" t="e">
        <f>重み!M100</f>
        <v>#DIV/0!</v>
      </c>
      <c r="AF100" s="581"/>
      <c r="AG100" s="644" t="e">
        <f>SUM(AG101,AG104,AG105)</f>
        <v>#DIV/0!</v>
      </c>
      <c r="AI100" s="2358">
        <v>3</v>
      </c>
      <c r="AJ100" s="2358"/>
      <c r="AK100" s="2358"/>
      <c r="AL100" s="2358"/>
      <c r="AM100" s="2358"/>
      <c r="AN100" s="2358">
        <v>3</v>
      </c>
      <c r="AO100" s="2358"/>
      <c r="AP100" s="2358"/>
      <c r="AQ100" s="2358"/>
      <c r="AR100" s="2358"/>
      <c r="AS100" s="2355" t="e">
        <f t="shared" si="40"/>
        <v>#DIV/0!</v>
      </c>
      <c r="AT100" s="810" t="e">
        <f>P100</f>
        <v>#DIV/0!</v>
      </c>
      <c r="AU100" s="677"/>
      <c r="AV100" s="2329"/>
      <c r="AW100" s="2354" t="e">
        <f>SUMPRODUCT($AZ$7:$BI$7,AI100:AR100)/AY100</f>
        <v>#DIV/0!</v>
      </c>
      <c r="AY100" s="2353" t="e">
        <f>SUMPRODUCT($AZ$7:$BI$7,AZ100:BI100)</f>
        <v>#DIV/0!</v>
      </c>
      <c r="AZ100" s="2339">
        <f t="shared" ref="AZ100:BI100" si="67">IF(AI100&gt;0,1,0)</f>
        <v>1</v>
      </c>
      <c r="BA100" s="2339">
        <f t="shared" si="67"/>
        <v>0</v>
      </c>
      <c r="BB100" s="2339">
        <f t="shared" si="67"/>
        <v>0</v>
      </c>
      <c r="BC100" s="2339">
        <f t="shared" si="67"/>
        <v>0</v>
      </c>
      <c r="BD100" s="2339">
        <f t="shared" si="67"/>
        <v>0</v>
      </c>
      <c r="BE100" s="2339">
        <f t="shared" si="67"/>
        <v>1</v>
      </c>
      <c r="BF100" s="2339">
        <f t="shared" si="67"/>
        <v>0</v>
      </c>
      <c r="BG100" s="2339">
        <f t="shared" si="67"/>
        <v>0</v>
      </c>
      <c r="BH100" s="2339">
        <f t="shared" si="67"/>
        <v>0</v>
      </c>
      <c r="BI100" s="2339">
        <f t="shared" si="67"/>
        <v>0</v>
      </c>
    </row>
    <row r="101" spans="2:61" ht="14.25" customHeight="1" thickBot="1">
      <c r="B101" s="694"/>
      <c r="C101" s="646">
        <v>3.1</v>
      </c>
      <c r="D101" s="678" t="s">
        <v>1246</v>
      </c>
      <c r="E101" s="647"/>
      <c r="F101" s="680"/>
      <c r="G101" s="2597"/>
      <c r="H101" s="2597"/>
      <c r="I101" s="650"/>
      <c r="J101" s="651"/>
      <c r="K101" s="651"/>
      <c r="L101" s="651"/>
      <c r="M101" s="3010"/>
      <c r="N101" s="695" t="e">
        <f t="shared" si="65"/>
        <v>#DIV/0!</v>
      </c>
      <c r="O101" s="695" t="e">
        <f t="shared" si="46"/>
        <v>#DIV/0!</v>
      </c>
      <c r="P101" s="640" t="e">
        <f t="shared" si="55"/>
        <v>#DIV/0!</v>
      </c>
      <c r="Q101" s="696" t="e">
        <f t="shared" si="66"/>
        <v>#DIV/0!</v>
      </c>
      <c r="R101" s="817" t="e">
        <f t="shared" si="47"/>
        <v>#DIV/0!</v>
      </c>
      <c r="S101" s="641" t="e">
        <f t="shared" si="56"/>
        <v>#DIV/0!</v>
      </c>
      <c r="T101" s="642"/>
      <c r="U101" s="567"/>
      <c r="V101" s="727"/>
      <c r="W101" s="2982"/>
      <c r="Y101" s="643" t="e">
        <f>SUMPRODUCT(Y102:Y103,Z102:Z103)</f>
        <v>#DIV/0!</v>
      </c>
      <c r="Z101" s="2611" t="e">
        <f>重み!D101</f>
        <v>#DIV/0!</v>
      </c>
      <c r="AA101" s="643" t="e">
        <f>SUMPRODUCT(AA102:AA103,AB102:AB103)</f>
        <v>#DIV/0!</v>
      </c>
      <c r="AB101" s="2611" t="e">
        <f>重み!E101</f>
        <v>#DIV/0!</v>
      </c>
      <c r="AC101" s="617"/>
      <c r="AD101" s="567"/>
      <c r="AE101" s="596" t="e">
        <f>重み!M101</f>
        <v>#DIV/0!</v>
      </c>
      <c r="AF101" s="581"/>
      <c r="AG101" s="596" t="e">
        <f>重み!N101</f>
        <v>#DIV/0!</v>
      </c>
      <c r="AW101"/>
      <c r="AX101"/>
      <c r="AY101"/>
    </row>
    <row r="102" spans="2:61" ht="14.25" customHeight="1">
      <c r="B102" s="694"/>
      <c r="C102" s="684"/>
      <c r="D102" s="656">
        <v>1</v>
      </c>
      <c r="E102" s="648" t="s">
        <v>1247</v>
      </c>
      <c r="F102" s="685"/>
      <c r="G102" s="2567"/>
      <c r="H102" s="2567"/>
      <c r="I102" s="3096"/>
      <c r="J102" s="3097"/>
      <c r="K102" s="3097"/>
      <c r="L102" s="3097"/>
      <c r="M102" s="3098"/>
      <c r="N102" s="2948">
        <v>0</v>
      </c>
      <c r="O102" s="658">
        <f t="shared" si="46"/>
        <v>3</v>
      </c>
      <c r="P102" s="659" t="e">
        <f t="shared" si="55"/>
        <v>#DIV/0!</v>
      </c>
      <c r="Q102" s="2948"/>
      <c r="R102" s="658">
        <f t="shared" si="47"/>
        <v>3</v>
      </c>
      <c r="S102" s="659" t="e">
        <f t="shared" si="56"/>
        <v>#DIV/0!</v>
      </c>
      <c r="T102" s="642"/>
      <c r="U102" s="567"/>
      <c r="V102" s="733">
        <f>IF(採点Q2!F342="対象外",0,採点Q2!F342)</f>
        <v>3</v>
      </c>
      <c r="W102" s="2614">
        <f>採点Q2!K342</f>
        <v>3</v>
      </c>
      <c r="Y102" s="660">
        <f t="shared" ref="Y102:Y103" si="68">IF($Y$3=4,N102,V102)</f>
        <v>3</v>
      </c>
      <c r="Z102" s="2611" t="e">
        <f>重み!D102</f>
        <v>#DIV/0!</v>
      </c>
      <c r="AA102" s="660">
        <f t="shared" ref="AA102:AA104" si="69">IF($Y$3=4,Q102,W102)</f>
        <v>3</v>
      </c>
      <c r="AB102" s="2611" t="e">
        <f>重み!E102</f>
        <v>#DIV/0!</v>
      </c>
      <c r="AC102" s="2610"/>
      <c r="AD102" s="567"/>
      <c r="AE102" s="596" t="e">
        <f>重み!M102</f>
        <v>#DIV/0!</v>
      </c>
      <c r="AF102" s="581"/>
      <c r="AG102" s="596" t="e">
        <f>重み!N102</f>
        <v>#DIV/0!</v>
      </c>
      <c r="AW102"/>
      <c r="AX102"/>
      <c r="AY102"/>
    </row>
    <row r="103" spans="2:61" ht="14.25" customHeight="1">
      <c r="B103" s="694"/>
      <c r="C103" s="684"/>
      <c r="D103" s="743">
        <v>2</v>
      </c>
      <c r="E103" s="647" t="s">
        <v>1248</v>
      </c>
      <c r="F103" s="680"/>
      <c r="G103" s="2567"/>
      <c r="H103" s="2567"/>
      <c r="I103" s="3096"/>
      <c r="J103" s="3097"/>
      <c r="K103" s="3097"/>
      <c r="L103" s="3097"/>
      <c r="M103" s="3098"/>
      <c r="N103" s="2949">
        <v>3</v>
      </c>
      <c r="O103" s="667">
        <f t="shared" si="46"/>
        <v>3</v>
      </c>
      <c r="P103" s="659" t="e">
        <f t="shared" si="55"/>
        <v>#DIV/0!</v>
      </c>
      <c r="Q103" s="2949"/>
      <c r="R103" s="667">
        <f t="shared" si="47"/>
        <v>3</v>
      </c>
      <c r="S103" s="659" t="e">
        <f t="shared" si="56"/>
        <v>#DIV/0!</v>
      </c>
      <c r="T103" s="642"/>
      <c r="U103" s="567"/>
      <c r="V103" s="733">
        <f>IF(採点Q2!F351="対象外",0,採点Q2!F351)</f>
        <v>3</v>
      </c>
      <c r="W103" s="2620">
        <f>採点Q2!K351</f>
        <v>3</v>
      </c>
      <c r="Y103" s="660">
        <f t="shared" si="68"/>
        <v>3</v>
      </c>
      <c r="Z103" s="2611" t="e">
        <f>重み!D103</f>
        <v>#DIV/0!</v>
      </c>
      <c r="AA103" s="660">
        <f t="shared" si="69"/>
        <v>3</v>
      </c>
      <c r="AB103" s="2611" t="e">
        <f>重み!E103</f>
        <v>#DIV/0!</v>
      </c>
      <c r="AC103" s="2610"/>
      <c r="AD103" s="567"/>
      <c r="AE103" s="596" t="e">
        <f>重み!M103</f>
        <v>#DIV/0!</v>
      </c>
      <c r="AF103" s="581"/>
      <c r="AG103" s="596" t="e">
        <f>重み!N103</f>
        <v>#DIV/0!</v>
      </c>
      <c r="AW103"/>
      <c r="AX103"/>
      <c r="AY103"/>
    </row>
    <row r="104" spans="2:61" ht="14.25" customHeight="1" thickBot="1">
      <c r="B104" s="694"/>
      <c r="C104" s="669">
        <v>3.2</v>
      </c>
      <c r="D104" s="744" t="s">
        <v>1249</v>
      </c>
      <c r="E104" s="648"/>
      <c r="F104" s="685"/>
      <c r="G104" s="2567"/>
      <c r="H104" s="2567"/>
      <c r="I104" s="3096"/>
      <c r="J104" s="3097"/>
      <c r="K104" s="3097"/>
      <c r="L104" s="3097"/>
      <c r="M104" s="3098"/>
      <c r="N104" s="2950">
        <v>3</v>
      </c>
      <c r="O104" s="670">
        <f t="shared" si="46"/>
        <v>3</v>
      </c>
      <c r="P104" s="659" t="e">
        <f t="shared" si="55"/>
        <v>#DIV/0!</v>
      </c>
      <c r="Q104" s="2950"/>
      <c r="R104" s="670">
        <f t="shared" si="47"/>
        <v>3</v>
      </c>
      <c r="S104" s="659" t="e">
        <f t="shared" si="56"/>
        <v>#DIV/0!</v>
      </c>
      <c r="T104" s="642"/>
      <c r="U104" s="567"/>
      <c r="V104" s="733">
        <f>IF(採点Q2!F362="対象外",0,採点Q2!F362)</f>
        <v>3</v>
      </c>
      <c r="W104" s="2617">
        <f>採点Q2!M362</f>
        <v>3</v>
      </c>
      <c r="Y104" s="2975">
        <f>IF($Y$3=4,N104,V104)</f>
        <v>3</v>
      </c>
      <c r="Z104" s="2611" t="e">
        <f>重み!D104</f>
        <v>#DIV/0!</v>
      </c>
      <c r="AA104" s="2975">
        <f t="shared" si="69"/>
        <v>3</v>
      </c>
      <c r="AB104" s="2611" t="e">
        <f>重み!E104</f>
        <v>#DIV/0!</v>
      </c>
      <c r="AC104" s="2610"/>
      <c r="AD104" s="567"/>
      <c r="AE104" s="596" t="e">
        <f>重み!M104</f>
        <v>#DIV/0!</v>
      </c>
      <c r="AF104" s="581"/>
      <c r="AG104" s="596" t="e">
        <f>重み!N104</f>
        <v>#DIV/0!</v>
      </c>
      <c r="AW104"/>
      <c r="AX104"/>
      <c r="AY104"/>
    </row>
    <row r="105" spans="2:61" ht="14.25" customHeight="1" thickBot="1">
      <c r="B105" s="694"/>
      <c r="C105" s="664">
        <v>3.3</v>
      </c>
      <c r="D105" s="678" t="s">
        <v>1250</v>
      </c>
      <c r="E105" s="647"/>
      <c r="F105" s="680"/>
      <c r="G105" s="2574"/>
      <c r="H105" s="2574"/>
      <c r="I105" s="636"/>
      <c r="J105" s="637"/>
      <c r="K105" s="637"/>
      <c r="L105" s="637"/>
      <c r="M105" s="638"/>
      <c r="N105" s="695" t="e">
        <f>ROUNDDOWN(Y105,1)</f>
        <v>#DIV/0!</v>
      </c>
      <c r="O105" s="695" t="e">
        <f t="shared" si="46"/>
        <v>#DIV/0!</v>
      </c>
      <c r="P105" s="640" t="e">
        <f>Z105</f>
        <v>#DIV/0!</v>
      </c>
      <c r="Q105" s="696" t="e">
        <f>ROUNDDOWN(AA105,1)</f>
        <v>#DIV/0!</v>
      </c>
      <c r="R105" s="2965" t="e">
        <f t="shared" si="47"/>
        <v>#DIV/0!</v>
      </c>
      <c r="S105" s="641" t="e">
        <f t="shared" si="56"/>
        <v>#DIV/0!</v>
      </c>
      <c r="T105" s="642"/>
      <c r="U105" s="567"/>
      <c r="V105" s="730"/>
      <c r="W105" s="2982"/>
      <c r="Y105" s="643" t="e">
        <f>SUMPRODUCT(Y106:Y111,Z106:Z111)</f>
        <v>#DIV/0!</v>
      </c>
      <c r="Z105" s="2611" t="e">
        <f>重み!D105</f>
        <v>#DIV/0!</v>
      </c>
      <c r="AA105" s="643" t="e">
        <f>SUMPRODUCT(AA106:AA111,AB106:AB111)</f>
        <v>#DIV/0!</v>
      </c>
      <c r="AB105" s="2611" t="e">
        <f>重み!E105</f>
        <v>#DIV/0!</v>
      </c>
      <c r="AC105" s="617"/>
      <c r="AD105" s="567"/>
      <c r="AE105" s="596" t="e">
        <f>重み!M105</f>
        <v>#DIV/0!</v>
      </c>
      <c r="AF105" s="581"/>
      <c r="AG105" s="596" t="e">
        <f>重み!N105</f>
        <v>#DIV/0!</v>
      </c>
      <c r="AW105"/>
      <c r="AX105"/>
      <c r="AY105"/>
    </row>
    <row r="106" spans="2:61" ht="14.25" customHeight="1">
      <c r="B106" s="694"/>
      <c r="C106" s="684"/>
      <c r="D106" s="656">
        <v>1</v>
      </c>
      <c r="E106" s="648" t="s">
        <v>1934</v>
      </c>
      <c r="F106" s="685"/>
      <c r="G106" s="2567"/>
      <c r="H106" s="2567"/>
      <c r="I106" s="3096"/>
      <c r="J106" s="3097"/>
      <c r="K106" s="3097"/>
      <c r="L106" s="3097"/>
      <c r="M106" s="3098"/>
      <c r="N106" s="2948">
        <v>0</v>
      </c>
      <c r="O106" s="658">
        <f t="shared" si="46"/>
        <v>3</v>
      </c>
      <c r="P106" s="728" t="e">
        <f t="shared" si="55"/>
        <v>#DIV/0!</v>
      </c>
      <c r="Q106" s="2780"/>
      <c r="R106" s="2788">
        <f t="shared" si="47"/>
        <v>0</v>
      </c>
      <c r="S106" s="641" t="e">
        <f t="shared" si="56"/>
        <v>#DIV/0!</v>
      </c>
      <c r="T106" s="642"/>
      <c r="U106" s="567"/>
      <c r="V106" s="2621">
        <f>IF(採点Q2!F372="対象外",0,採点Q2!F372)</f>
        <v>3</v>
      </c>
      <c r="W106" s="2982"/>
      <c r="Y106" s="660">
        <f>IF($Y$3=4,N106,V106)</f>
        <v>3</v>
      </c>
      <c r="Z106" s="2611" t="e">
        <f>重み!D106</f>
        <v>#DIV/0!</v>
      </c>
      <c r="AA106" s="660">
        <f>IF($Y$3=4,Q106,W106)</f>
        <v>0</v>
      </c>
      <c r="AB106" s="2611" t="e">
        <f>重み!E106</f>
        <v>#DIV/0!</v>
      </c>
      <c r="AC106" s="2610"/>
      <c r="AD106" s="567"/>
      <c r="AE106" s="596" t="e">
        <f>重み!M106</f>
        <v>#DIV/0!</v>
      </c>
      <c r="AF106" s="581"/>
      <c r="AG106" s="596" t="e">
        <f>重み!N106</f>
        <v>#DIV/0!</v>
      </c>
      <c r="AW106"/>
      <c r="AX106"/>
      <c r="AY106"/>
    </row>
    <row r="107" spans="2:61" ht="14.25" customHeight="1">
      <c r="B107" s="694"/>
      <c r="C107" s="684"/>
      <c r="D107" s="743">
        <v>2</v>
      </c>
      <c r="E107" s="647" t="s">
        <v>1251</v>
      </c>
      <c r="F107" s="680"/>
      <c r="G107" s="2567"/>
      <c r="H107" s="2567"/>
      <c r="I107" s="3096"/>
      <c r="J107" s="3097"/>
      <c r="K107" s="3097"/>
      <c r="L107" s="3097"/>
      <c r="M107" s="3098"/>
      <c r="N107" s="2949">
        <v>3</v>
      </c>
      <c r="O107" s="667">
        <f t="shared" si="46"/>
        <v>3</v>
      </c>
      <c r="P107" s="728" t="e">
        <f t="shared" si="55"/>
        <v>#DIV/0!</v>
      </c>
      <c r="Q107" s="2780"/>
      <c r="R107" s="2788">
        <f t="shared" si="47"/>
        <v>0</v>
      </c>
      <c r="S107" s="641" t="e">
        <f t="shared" si="56"/>
        <v>#DIV/0!</v>
      </c>
      <c r="T107" s="642"/>
      <c r="U107" s="567"/>
      <c r="V107" s="725">
        <f>IF(採点Q2!K372="対象外",0,採点Q2!K372)</f>
        <v>3</v>
      </c>
      <c r="W107" s="2982"/>
      <c r="Y107" s="660">
        <f t="shared" ref="Y107:Y111" si="70">IF($Y$3=4,N107,V107)</f>
        <v>3</v>
      </c>
      <c r="Z107" s="2611" t="e">
        <f>重み!D107</f>
        <v>#DIV/0!</v>
      </c>
      <c r="AA107" s="660">
        <f t="shared" ref="AA107:AA111" si="71">IF($Y$3=4,Q107,W107)</f>
        <v>0</v>
      </c>
      <c r="AB107" s="2611" t="e">
        <f>重み!E107</f>
        <v>#DIV/0!</v>
      </c>
      <c r="AC107" s="2610"/>
      <c r="AD107" s="567"/>
      <c r="AE107" s="596" t="e">
        <f>重み!M107</f>
        <v>#DIV/0!</v>
      </c>
      <c r="AF107" s="581"/>
      <c r="AG107" s="596" t="e">
        <f>重み!N107</f>
        <v>#DIV/0!</v>
      </c>
      <c r="AW107"/>
      <c r="AX107"/>
      <c r="AY107"/>
    </row>
    <row r="108" spans="2:61" ht="14.25" customHeight="1">
      <c r="B108" s="694"/>
      <c r="C108" s="684"/>
      <c r="D108" s="656">
        <v>3</v>
      </c>
      <c r="E108" s="648" t="s">
        <v>1252</v>
      </c>
      <c r="F108" s="685"/>
      <c r="G108" s="2567"/>
      <c r="H108" s="2567"/>
      <c r="I108" s="3096"/>
      <c r="J108" s="3097"/>
      <c r="K108" s="3097"/>
      <c r="L108" s="3097"/>
      <c r="M108" s="3098"/>
      <c r="N108" s="2949">
        <v>3</v>
      </c>
      <c r="O108" s="667">
        <f t="shared" si="46"/>
        <v>3</v>
      </c>
      <c r="P108" s="728" t="e">
        <f t="shared" si="55"/>
        <v>#DIV/0!</v>
      </c>
      <c r="Q108" s="2780"/>
      <c r="R108" s="2788">
        <f t="shared" si="47"/>
        <v>0</v>
      </c>
      <c r="S108" s="641" t="e">
        <f t="shared" si="56"/>
        <v>#DIV/0!</v>
      </c>
      <c r="T108" s="642"/>
      <c r="U108" s="567"/>
      <c r="V108" s="725">
        <f>IF(採点Q2!F381="対象外",0,採点Q2!F381)</f>
        <v>3</v>
      </c>
      <c r="W108" s="2982"/>
      <c r="Y108" s="660">
        <f t="shared" si="70"/>
        <v>3</v>
      </c>
      <c r="Z108" s="2611" t="e">
        <f>重み!D108</f>
        <v>#DIV/0!</v>
      </c>
      <c r="AA108" s="660">
        <f t="shared" si="71"/>
        <v>0</v>
      </c>
      <c r="AB108" s="2611" t="e">
        <f>重み!E108</f>
        <v>#DIV/0!</v>
      </c>
      <c r="AC108" s="2610"/>
      <c r="AD108" s="567"/>
      <c r="AE108" s="596" t="e">
        <f>重み!M108</f>
        <v>#DIV/0!</v>
      </c>
      <c r="AF108" s="581"/>
      <c r="AG108" s="596" t="e">
        <f>重み!N108</f>
        <v>#DIV/0!</v>
      </c>
      <c r="AW108"/>
      <c r="AX108"/>
      <c r="AY108"/>
    </row>
    <row r="109" spans="2:61" ht="14.25" customHeight="1">
      <c r="B109" s="694"/>
      <c r="C109" s="684"/>
      <c r="D109" s="743">
        <v>4</v>
      </c>
      <c r="E109" s="647" t="s">
        <v>1253</v>
      </c>
      <c r="F109" s="680"/>
      <c r="G109" s="2567"/>
      <c r="H109" s="2567"/>
      <c r="I109" s="3096"/>
      <c r="J109" s="3097"/>
      <c r="K109" s="3097"/>
      <c r="L109" s="3097"/>
      <c r="M109" s="3098"/>
      <c r="N109" s="2949">
        <v>3</v>
      </c>
      <c r="O109" s="667">
        <f t="shared" si="46"/>
        <v>3</v>
      </c>
      <c r="P109" s="728" t="e">
        <f t="shared" si="55"/>
        <v>#DIV/0!</v>
      </c>
      <c r="Q109" s="2780"/>
      <c r="R109" s="2788">
        <f t="shared" si="47"/>
        <v>0</v>
      </c>
      <c r="S109" s="641" t="e">
        <f t="shared" si="56"/>
        <v>#DIV/0!</v>
      </c>
      <c r="T109" s="642"/>
      <c r="U109" s="567"/>
      <c r="V109" s="725">
        <f>IF(採点Q2!K381="対象外",0,採点Q2!K381)</f>
        <v>3</v>
      </c>
      <c r="W109" s="2982"/>
      <c r="Y109" s="660">
        <f t="shared" si="70"/>
        <v>3</v>
      </c>
      <c r="Z109" s="2611" t="e">
        <f>重み!D109</f>
        <v>#DIV/0!</v>
      </c>
      <c r="AA109" s="660">
        <f t="shared" si="71"/>
        <v>0</v>
      </c>
      <c r="AB109" s="2611" t="e">
        <f>重み!E109</f>
        <v>#DIV/0!</v>
      </c>
      <c r="AC109" s="2610"/>
      <c r="AD109" s="567"/>
      <c r="AE109" s="596" t="e">
        <f>重み!M109</f>
        <v>#DIV/0!</v>
      </c>
      <c r="AF109" s="581"/>
      <c r="AG109" s="596" t="e">
        <f>重み!N109</f>
        <v>#DIV/0!</v>
      </c>
      <c r="AW109"/>
      <c r="AX109"/>
      <c r="AY109"/>
    </row>
    <row r="110" spans="2:61" ht="14.25" customHeight="1">
      <c r="B110" s="694"/>
      <c r="C110" s="684"/>
      <c r="D110" s="656">
        <v>5</v>
      </c>
      <c r="E110" s="648" t="s">
        <v>1254</v>
      </c>
      <c r="F110" s="685"/>
      <c r="G110" s="2567"/>
      <c r="H110" s="2567"/>
      <c r="I110" s="3096"/>
      <c r="J110" s="3097"/>
      <c r="K110" s="3097"/>
      <c r="L110" s="3097"/>
      <c r="M110" s="3098"/>
      <c r="N110" s="2949">
        <v>3</v>
      </c>
      <c r="O110" s="667">
        <f t="shared" si="46"/>
        <v>3</v>
      </c>
      <c r="P110" s="728" t="e">
        <f t="shared" ref="P110:P147" si="72">Z110</f>
        <v>#DIV/0!</v>
      </c>
      <c r="Q110" s="2780"/>
      <c r="R110" s="2788">
        <f t="shared" si="47"/>
        <v>0</v>
      </c>
      <c r="S110" s="641" t="e">
        <f t="shared" ref="S110:S147" si="73">AB110</f>
        <v>#DIV/0!</v>
      </c>
      <c r="T110" s="642"/>
      <c r="U110" s="567"/>
      <c r="V110" s="725">
        <f>IF(採点Q2!F390="対象外",0,採点Q2!F390)</f>
        <v>3</v>
      </c>
      <c r="W110" s="2982"/>
      <c r="Y110" s="660">
        <f t="shared" si="70"/>
        <v>3</v>
      </c>
      <c r="Z110" s="2611" t="e">
        <f>重み!D110</f>
        <v>#DIV/0!</v>
      </c>
      <c r="AA110" s="660">
        <f t="shared" si="71"/>
        <v>0</v>
      </c>
      <c r="AB110" s="2611" t="e">
        <f>重み!E110</f>
        <v>#DIV/0!</v>
      </c>
      <c r="AC110" s="2610"/>
      <c r="AD110" s="567"/>
      <c r="AE110" s="596" t="e">
        <f>重み!M110</f>
        <v>#DIV/0!</v>
      </c>
      <c r="AF110" s="581"/>
      <c r="AG110" s="596" t="e">
        <f>重み!N110</f>
        <v>#DIV/0!</v>
      </c>
      <c r="AW110"/>
      <c r="AX110"/>
      <c r="AY110"/>
    </row>
    <row r="111" spans="2:61" ht="14.25" customHeight="1" thickBot="1">
      <c r="B111" s="702"/>
      <c r="C111" s="745"/>
      <c r="D111" s="746">
        <v>6</v>
      </c>
      <c r="E111" s="704" t="s">
        <v>1255</v>
      </c>
      <c r="F111" s="705"/>
      <c r="G111" s="2567"/>
      <c r="H111" s="2567"/>
      <c r="I111" s="3096"/>
      <c r="J111" s="3097"/>
      <c r="K111" s="3097"/>
      <c r="L111" s="3097"/>
      <c r="M111" s="3098"/>
      <c r="N111" s="2952">
        <v>3</v>
      </c>
      <c r="O111" s="663">
        <f t="shared" si="46"/>
        <v>3</v>
      </c>
      <c r="P111" s="747" t="e">
        <f t="shared" si="72"/>
        <v>#DIV/0!</v>
      </c>
      <c r="Q111" s="2784"/>
      <c r="R111" s="2966">
        <f t="shared" si="47"/>
        <v>0</v>
      </c>
      <c r="S111" s="748" t="e">
        <f t="shared" si="73"/>
        <v>#DIV/0!</v>
      </c>
      <c r="T111" s="706"/>
      <c r="U111" s="567"/>
      <c r="V111" s="2622">
        <f>IF(採点Q2!K390="対象外",0,採点Q2!K390)</f>
        <v>3</v>
      </c>
      <c r="W111" s="2982"/>
      <c r="Y111" s="660">
        <f t="shared" si="70"/>
        <v>3</v>
      </c>
      <c r="Z111" s="2611" t="e">
        <f>重み!D111</f>
        <v>#DIV/0!</v>
      </c>
      <c r="AA111" s="660">
        <f t="shared" si="71"/>
        <v>0</v>
      </c>
      <c r="AB111" s="2611" t="e">
        <f>重み!E111</f>
        <v>#DIV/0!</v>
      </c>
      <c r="AC111" s="2610"/>
      <c r="AD111" s="567"/>
      <c r="AE111" s="596" t="e">
        <f>重み!M111</f>
        <v>#DIV/0!</v>
      </c>
      <c r="AF111" s="581"/>
      <c r="AG111" s="596" t="e">
        <f>重み!N111</f>
        <v>#DIV/0!</v>
      </c>
      <c r="AW111"/>
      <c r="AX111"/>
      <c r="AY111"/>
    </row>
    <row r="112" spans="2:61" ht="14.25" customHeight="1" thickBot="1">
      <c r="B112" s="707" t="s">
        <v>1935</v>
      </c>
      <c r="C112" s="749" t="s">
        <v>1936</v>
      </c>
      <c r="D112" s="749"/>
      <c r="E112" s="749"/>
      <c r="F112" s="750"/>
      <c r="G112" s="2578"/>
      <c r="H112" s="2578"/>
      <c r="I112" s="711"/>
      <c r="J112" s="712"/>
      <c r="K112" s="712"/>
      <c r="L112" s="712"/>
      <c r="M112" s="713"/>
      <c r="N112" s="751"/>
      <c r="O112" s="751">
        <f t="shared" si="46"/>
        <v>0</v>
      </c>
      <c r="P112" s="715" t="e">
        <f t="shared" si="72"/>
        <v>#DIV/0!</v>
      </c>
      <c r="Q112" s="716"/>
      <c r="R112" s="2958">
        <f t="shared" si="47"/>
        <v>0</v>
      </c>
      <c r="S112" s="717">
        <f t="shared" si="73"/>
        <v>0</v>
      </c>
      <c r="T112" s="718" t="e">
        <f>ROUNDDOWN(AC112,1)</f>
        <v>#DIV/0!</v>
      </c>
      <c r="U112" s="567"/>
      <c r="V112" s="2986"/>
      <c r="W112" s="2982"/>
      <c r="Y112" s="690"/>
      <c r="Z112" s="629" t="e">
        <f>重み!D112</f>
        <v>#DIV/0!</v>
      </c>
      <c r="AA112" s="690"/>
      <c r="AB112" s="629"/>
      <c r="AC112" s="3017" t="e">
        <f>AC113*Z113+Z114*AC114+AC116*Z116+AC117*Z117</f>
        <v>#DIV/0!</v>
      </c>
      <c r="AD112" s="567"/>
      <c r="AE112" s="596" t="e">
        <f>重み!M112</f>
        <v>#DIV/0!</v>
      </c>
      <c r="AF112" s="581"/>
      <c r="AG112" s="596" t="e">
        <f>重み!N112</f>
        <v>#DIV/0!</v>
      </c>
      <c r="AI112" s="2375"/>
      <c r="AJ112" s="2361"/>
      <c r="AK112" s="2361"/>
      <c r="AL112" s="2361"/>
      <c r="AM112" s="2361"/>
      <c r="AN112" s="2361"/>
      <c r="AO112" s="2361"/>
      <c r="AP112" s="2361"/>
      <c r="AQ112" s="2361"/>
      <c r="AR112" s="2362"/>
      <c r="AS112" s="2363"/>
      <c r="AT112" s="2364" t="e">
        <f>P112</f>
        <v>#DIV/0!</v>
      </c>
      <c r="AU112" s="718" t="e">
        <f>ROUNDDOWN(AW112,1)</f>
        <v>#DIV/0!</v>
      </c>
      <c r="AW112" s="2354" t="e">
        <f>SUMPRODUCT(AT113:AT119,AW113:AW119)</f>
        <v>#DIV/0!</v>
      </c>
    </row>
    <row r="113" spans="2:61" ht="14.25" customHeight="1">
      <c r="B113" s="631">
        <v>1</v>
      </c>
      <c r="C113" s="720" t="s">
        <v>1256</v>
      </c>
      <c r="D113" s="665"/>
      <c r="E113" s="665"/>
      <c r="F113" s="635"/>
      <c r="G113" s="3005" t="s">
        <v>3236</v>
      </c>
      <c r="H113" s="3006" t="s">
        <v>3236</v>
      </c>
      <c r="I113" s="3107"/>
      <c r="J113" s="3108"/>
      <c r="K113" s="3108"/>
      <c r="L113" s="3108"/>
      <c r="M113" s="3109"/>
      <c r="N113" s="2902">
        <v>0</v>
      </c>
      <c r="O113" s="752">
        <f t="shared" si="46"/>
        <v>3</v>
      </c>
      <c r="P113" s="728" t="e">
        <f t="shared" si="72"/>
        <v>#DIV/0!</v>
      </c>
      <c r="Q113" s="2779"/>
      <c r="R113" s="2976">
        <f t="shared" si="47"/>
        <v>0</v>
      </c>
      <c r="S113" s="641" t="e">
        <f t="shared" si="73"/>
        <v>#DIV/0!</v>
      </c>
      <c r="T113" s="642">
        <f>ROUNDDOWN(AC113,1)</f>
        <v>3</v>
      </c>
      <c r="U113" s="567"/>
      <c r="V113" s="2621">
        <f>IF(採点Q3!F7="対象外",0,採点Q3!F7)</f>
        <v>3</v>
      </c>
      <c r="W113" s="2982"/>
      <c r="Y113" s="2979">
        <f>IF($Y$3=4,N113,V113)</f>
        <v>3</v>
      </c>
      <c r="Z113" s="2611" t="e">
        <f>重み!D113</f>
        <v>#DIV/0!</v>
      </c>
      <c r="AA113" s="2979">
        <f t="shared" ref="AA113:AA116" si="74">IF($Y$3=4,Q113,W113)</f>
        <v>0</v>
      </c>
      <c r="AB113" s="2611" t="e">
        <f>重み!E113</f>
        <v>#DIV/0!</v>
      </c>
      <c r="AC113" s="2610">
        <f>IF(AA113=0,Y113,IF(Y113=0,AA113,Y113*AE$6+AA113*AG$6))</f>
        <v>3</v>
      </c>
      <c r="AD113" s="567"/>
      <c r="AE113" s="596" t="e">
        <f>重み!M113</f>
        <v>#DIV/0!</v>
      </c>
      <c r="AF113" s="581"/>
      <c r="AG113" s="596" t="e">
        <f>重み!N113</f>
        <v>#DIV/0!</v>
      </c>
      <c r="AI113" s="2358">
        <v>3</v>
      </c>
      <c r="AJ113" s="2358"/>
      <c r="AK113" s="2358"/>
      <c r="AL113" s="2358"/>
      <c r="AM113" s="2358"/>
      <c r="AN113" s="2358">
        <v>3</v>
      </c>
      <c r="AO113" s="2358"/>
      <c r="AP113" s="2358"/>
      <c r="AQ113" s="2358"/>
      <c r="AR113" s="2358"/>
      <c r="AS113" s="2355" t="e">
        <f>ROUNDDOWN(AW113,1)</f>
        <v>#DIV/0!</v>
      </c>
      <c r="AT113" s="810" t="e">
        <f>P113</f>
        <v>#DIV/0!</v>
      </c>
      <c r="AU113" s="677"/>
      <c r="AV113" s="2329"/>
      <c r="AW113" s="2354" t="e">
        <f>SUMPRODUCT($AZ$7:$BI$7,AI113:AR113)/AY113</f>
        <v>#DIV/0!</v>
      </c>
      <c r="AY113" s="2353" t="e">
        <f>SUMPRODUCT($AZ$7:$BI$7,AZ113:BI113)</f>
        <v>#DIV/0!</v>
      </c>
      <c r="AZ113" s="2339">
        <f t="shared" ref="AZ113:BI117" si="75">IF(AI113&gt;0,1,0)</f>
        <v>1</v>
      </c>
      <c r="BA113" s="2339">
        <f t="shared" si="75"/>
        <v>0</v>
      </c>
      <c r="BB113" s="2339">
        <f t="shared" si="75"/>
        <v>0</v>
      </c>
      <c r="BC113" s="2339">
        <f t="shared" si="75"/>
        <v>0</v>
      </c>
      <c r="BD113" s="2339">
        <f t="shared" si="75"/>
        <v>0</v>
      </c>
      <c r="BE113" s="2339">
        <f t="shared" si="75"/>
        <v>1</v>
      </c>
      <c r="BF113" s="2339">
        <f t="shared" si="75"/>
        <v>0</v>
      </c>
      <c r="BG113" s="2339">
        <f t="shared" si="75"/>
        <v>0</v>
      </c>
      <c r="BH113" s="2339">
        <f t="shared" si="75"/>
        <v>0</v>
      </c>
      <c r="BI113" s="2339">
        <f t="shared" si="75"/>
        <v>0</v>
      </c>
    </row>
    <row r="114" spans="2:61" s="2687" customFormat="1" ht="14.25" hidden="1" customHeight="1" thickBot="1">
      <c r="B114" s="2939">
        <v>1</v>
      </c>
      <c r="C114" s="3007" t="s">
        <v>3472</v>
      </c>
      <c r="D114" s="2943"/>
      <c r="E114" s="648"/>
      <c r="F114" s="685"/>
      <c r="G114" s="3008"/>
      <c r="H114" s="3009"/>
      <c r="I114" s="673"/>
      <c r="J114" s="2895"/>
      <c r="K114" s="2895"/>
      <c r="L114" s="2895"/>
      <c r="M114" s="2222"/>
      <c r="N114" s="3011" t="e">
        <f>ROUNDDOWN(Y114,1)</f>
        <v>#DIV/0!</v>
      </c>
      <c r="O114" s="3011" t="e">
        <f t="shared" si="46"/>
        <v>#DIV/0!</v>
      </c>
      <c r="P114" s="681" t="e">
        <f>Z114</f>
        <v>#DIV/0!</v>
      </c>
      <c r="Q114" s="682" t="e">
        <f>ROUNDDOWN(AA114,1)</f>
        <v>#DIV/0!</v>
      </c>
      <c r="R114" s="652" t="e">
        <f t="shared" si="47"/>
        <v>#DIV/0!</v>
      </c>
      <c r="S114" s="683" t="e">
        <f t="shared" si="73"/>
        <v>#DIV/0!</v>
      </c>
      <c r="T114" s="677" t="e">
        <f>ROUNDDOWN(AC114,1)</f>
        <v>#DIV/0!</v>
      </c>
      <c r="U114" s="2607"/>
      <c r="V114" s="3001">
        <v>100</v>
      </c>
      <c r="W114" s="2982"/>
      <c r="Y114" s="2978" t="e">
        <f>Y115*Z115</f>
        <v>#DIV/0!</v>
      </c>
      <c r="Z114" s="2611" t="e">
        <f>重み!D114</f>
        <v>#DIV/0!</v>
      </c>
      <c r="AA114" s="2978" t="e">
        <f>AA115*AB115</f>
        <v>#DIV/0!</v>
      </c>
      <c r="AB114" s="644" t="e">
        <f>SUM(AB115)</f>
        <v>#DIV/0!</v>
      </c>
      <c r="AC114" s="2610" t="e">
        <f>IF(AA114=0,Y114,IF(Y114=0,AA114,Y114*AE$6+AA114*AG$6))</f>
        <v>#DIV/0!</v>
      </c>
      <c r="AD114" s="2607"/>
      <c r="AE114" s="2609" t="e">
        <f>重み!M114</f>
        <v>#DIV/0!</v>
      </c>
      <c r="AF114" s="2608"/>
      <c r="AG114" s="644" t="e">
        <f>SUM(AG115)</f>
        <v>#DIV/0!</v>
      </c>
      <c r="AI114" s="2358"/>
      <c r="AJ114" s="2358"/>
      <c r="AK114" s="2358"/>
      <c r="AL114" s="2358"/>
      <c r="AM114" s="2358"/>
      <c r="AN114" s="2358"/>
      <c r="AO114" s="2358"/>
      <c r="AP114" s="2358"/>
      <c r="AQ114" s="2358"/>
      <c r="AR114" s="2358"/>
      <c r="AS114" s="2355"/>
      <c r="AT114" s="810"/>
      <c r="AU114" s="677"/>
      <c r="AW114" s="2354"/>
      <c r="AY114" s="2353"/>
      <c r="AZ114" s="2339"/>
      <c r="BA114" s="2339"/>
      <c r="BB114" s="2339"/>
      <c r="BC114" s="2339"/>
      <c r="BD114" s="2339"/>
      <c r="BE114" s="2339"/>
      <c r="BF114" s="2339"/>
      <c r="BG114" s="2339"/>
      <c r="BH114" s="2339"/>
      <c r="BI114" s="2339"/>
    </row>
    <row r="115" spans="2:61" s="2687" customFormat="1" ht="14.25" hidden="1" customHeight="1">
      <c r="B115" s="2940"/>
      <c r="C115" s="2941">
        <v>1.1000000000000001</v>
      </c>
      <c r="D115" s="2938" t="s">
        <v>3473</v>
      </c>
      <c r="E115" s="759"/>
      <c r="F115" s="701"/>
      <c r="G115" s="2900"/>
      <c r="H115" s="2901"/>
      <c r="I115" s="3123"/>
      <c r="J115" s="3124"/>
      <c r="K115" s="3124"/>
      <c r="L115" s="3124"/>
      <c r="M115" s="3125"/>
      <c r="N115" s="2902">
        <v>3</v>
      </c>
      <c r="O115" s="752">
        <f t="shared" si="46"/>
        <v>100</v>
      </c>
      <c r="P115" s="3012" t="e">
        <f>Z115</f>
        <v>#DIV/0!</v>
      </c>
      <c r="Q115" s="2785"/>
      <c r="R115" s="2789">
        <f t="shared" si="47"/>
        <v>0</v>
      </c>
      <c r="S115" s="676" t="e">
        <f t="shared" si="73"/>
        <v>#DIV/0!</v>
      </c>
      <c r="T115" s="677"/>
      <c r="U115" s="2607"/>
      <c r="V115" s="3001">
        <v>100</v>
      </c>
      <c r="W115" s="2982"/>
      <c r="Y115" s="2975">
        <f t="shared" ref="Y115:Y116" si="76">IF($Y$3=4,N115,V115)</f>
        <v>100</v>
      </c>
      <c r="Z115" s="2611" t="e">
        <f>重み!D115</f>
        <v>#DIV/0!</v>
      </c>
      <c r="AA115" s="2975">
        <f t="shared" si="74"/>
        <v>0</v>
      </c>
      <c r="AB115" s="2611" t="e">
        <f>重み!E115</f>
        <v>#DIV/0!</v>
      </c>
      <c r="AC115" s="2610"/>
      <c r="AD115" s="2607"/>
      <c r="AE115" s="2609" t="e">
        <f>重み!M115</f>
        <v>#DIV/0!</v>
      </c>
      <c r="AF115" s="2608"/>
      <c r="AG115" s="2609" t="e">
        <f>重み!N115</f>
        <v>#DIV/0!</v>
      </c>
      <c r="AI115" s="2358"/>
      <c r="AJ115" s="2358"/>
      <c r="AK115" s="2358"/>
      <c r="AL115" s="2358"/>
      <c r="AM115" s="2358"/>
      <c r="AN115" s="2358"/>
      <c r="AO115" s="2358"/>
      <c r="AP115" s="2358"/>
      <c r="AQ115" s="2358"/>
      <c r="AR115" s="2358"/>
      <c r="AS115" s="2355"/>
      <c r="AT115" s="810"/>
      <c r="AU115" s="677"/>
      <c r="AW115" s="2354"/>
      <c r="AY115" s="2353"/>
      <c r="AZ115" s="2339"/>
      <c r="BA115" s="2339"/>
      <c r="BB115" s="2339"/>
      <c r="BC115" s="2339"/>
      <c r="BD115" s="2339"/>
      <c r="BE115" s="2339"/>
      <c r="BF115" s="2339"/>
      <c r="BG115" s="2339"/>
      <c r="BH115" s="2339"/>
      <c r="BI115" s="2339"/>
    </row>
    <row r="116" spans="2:61" ht="14.25" customHeight="1" thickBot="1">
      <c r="B116" s="753">
        <v>2</v>
      </c>
      <c r="C116" s="754" t="s">
        <v>1257</v>
      </c>
      <c r="D116" s="648"/>
      <c r="E116" s="648"/>
      <c r="F116" s="685"/>
      <c r="G116" s="2566" t="s">
        <v>3237</v>
      </c>
      <c r="H116" s="2565" t="s">
        <v>3237</v>
      </c>
      <c r="I116" s="3123"/>
      <c r="J116" s="3124"/>
      <c r="K116" s="3124"/>
      <c r="L116" s="3124"/>
      <c r="M116" s="3125"/>
      <c r="N116" s="2950">
        <v>0</v>
      </c>
      <c r="O116" s="670">
        <f t="shared" si="46"/>
        <v>3</v>
      </c>
      <c r="P116" s="3012" t="e">
        <f t="shared" si="72"/>
        <v>#DIV/0!</v>
      </c>
      <c r="Q116" s="2785"/>
      <c r="R116" s="2789">
        <f t="shared" si="47"/>
        <v>0</v>
      </c>
      <c r="S116" s="676" t="e">
        <f t="shared" si="73"/>
        <v>#DIV/0!</v>
      </c>
      <c r="T116" s="677">
        <f>ROUNDDOWN(AC116,1)</f>
        <v>3</v>
      </c>
      <c r="U116" s="567"/>
      <c r="V116" s="2622">
        <f>IF(採点Q3!F34="対象外",0,採点Q3!F34)</f>
        <v>3</v>
      </c>
      <c r="W116" s="2982"/>
      <c r="Y116" s="2979">
        <f t="shared" si="76"/>
        <v>3</v>
      </c>
      <c r="Z116" s="2611" t="e">
        <f>重み!D116</f>
        <v>#DIV/0!</v>
      </c>
      <c r="AA116" s="2979">
        <f t="shared" si="74"/>
        <v>0</v>
      </c>
      <c r="AB116" s="2611" t="e">
        <f>重み!E116</f>
        <v>#DIV/0!</v>
      </c>
      <c r="AC116" s="2610">
        <f>IF(AA116=0,Y116,IF(Y116=0,AA116,Y116*AE$6+AA116*AG$6))</f>
        <v>3</v>
      </c>
      <c r="AD116" s="567"/>
      <c r="AE116" s="596" t="e">
        <f>重み!M116</f>
        <v>#DIV/0!</v>
      </c>
      <c r="AF116" s="581"/>
      <c r="AG116" s="2609" t="e">
        <f>重み!N116</f>
        <v>#DIV/0!</v>
      </c>
      <c r="AI116" s="2358">
        <v>3</v>
      </c>
      <c r="AJ116" s="2358"/>
      <c r="AK116" s="2358"/>
      <c r="AL116" s="2358"/>
      <c r="AM116" s="2358"/>
      <c r="AN116" s="2358">
        <v>3</v>
      </c>
      <c r="AO116" s="2358"/>
      <c r="AP116" s="2358"/>
      <c r="AQ116" s="2358"/>
      <c r="AR116" s="2358"/>
      <c r="AS116" s="2355" t="e">
        <f>ROUNDDOWN(AW116,1)</f>
        <v>#DIV/0!</v>
      </c>
      <c r="AT116" s="810" t="e">
        <f>P116</f>
        <v>#DIV/0!</v>
      </c>
      <c r="AU116" s="677"/>
      <c r="AV116" s="2329"/>
      <c r="AW116" s="2354" t="e">
        <f>SUMPRODUCT($AZ$7:$BI$7,AI116:AR116)/AY116</f>
        <v>#DIV/0!</v>
      </c>
      <c r="AY116" s="2353" t="e">
        <f>SUMPRODUCT($AZ$7:$BI$7,AZ116:BI116)</f>
        <v>#DIV/0!</v>
      </c>
      <c r="AZ116" s="2339">
        <f t="shared" si="75"/>
        <v>1</v>
      </c>
      <c r="BA116" s="2339">
        <f t="shared" si="75"/>
        <v>0</v>
      </c>
      <c r="BB116" s="2339">
        <f t="shared" si="75"/>
        <v>0</v>
      </c>
      <c r="BC116" s="2339">
        <f t="shared" si="75"/>
        <v>0</v>
      </c>
      <c r="BD116" s="2339">
        <f t="shared" si="75"/>
        <v>0</v>
      </c>
      <c r="BE116" s="2339">
        <f t="shared" si="75"/>
        <v>1</v>
      </c>
      <c r="BF116" s="2339">
        <f t="shared" si="75"/>
        <v>0</v>
      </c>
      <c r="BG116" s="2339">
        <f t="shared" si="75"/>
        <v>0</v>
      </c>
      <c r="BH116" s="2339">
        <f t="shared" si="75"/>
        <v>0</v>
      </c>
      <c r="BI116" s="2339">
        <f t="shared" si="75"/>
        <v>0</v>
      </c>
    </row>
    <row r="117" spans="2:61" ht="14.25" customHeight="1" thickBot="1">
      <c r="B117" s="726">
        <v>3</v>
      </c>
      <c r="C117" s="756" t="s">
        <v>1258</v>
      </c>
      <c r="D117" s="657"/>
      <c r="E117" s="657"/>
      <c r="F117" s="701"/>
      <c r="G117" s="2564"/>
      <c r="H117" s="2563"/>
      <c r="I117" s="673"/>
      <c r="J117" s="2895"/>
      <c r="K117" s="2895"/>
      <c r="L117" s="2895"/>
      <c r="M117" s="2222"/>
      <c r="N117" s="695" t="e">
        <f>ROUNDDOWN(Y117,1)</f>
        <v>#DIV/0!</v>
      </c>
      <c r="O117" s="695" t="e">
        <f t="shared" si="46"/>
        <v>#DIV/0!</v>
      </c>
      <c r="P117" s="755" t="e">
        <f>Z117</f>
        <v>#DIV/0!</v>
      </c>
      <c r="Q117" s="2964" t="e">
        <f>ROUNDDOWN(AA117,1)</f>
        <v>#DIV/0!</v>
      </c>
      <c r="R117" s="2786" t="e">
        <f t="shared" si="47"/>
        <v>#DIV/0!</v>
      </c>
      <c r="S117" s="676" t="e">
        <f t="shared" si="73"/>
        <v>#DIV/0!</v>
      </c>
      <c r="T117" s="677" t="e">
        <f>ROUNDDOWN(AC117,1)</f>
        <v>#DIV/0!</v>
      </c>
      <c r="U117" s="567"/>
      <c r="V117" s="730"/>
      <c r="W117" s="2982"/>
      <c r="Y117" s="2978" t="e">
        <f>Y118*Z118+Y119*Z119</f>
        <v>#DIV/0!</v>
      </c>
      <c r="Z117" s="2611" t="e">
        <f>重み!D117</f>
        <v>#DIV/0!</v>
      </c>
      <c r="AA117" s="2978" t="e">
        <f>AA118*AB118+AA119*AB119</f>
        <v>#DIV/0!</v>
      </c>
      <c r="AB117" s="644" t="e">
        <f>SUM(AB118,AB119)</f>
        <v>#DIV/0!</v>
      </c>
      <c r="AC117" s="617" t="e">
        <f>IF(AA117=0,Y117,IF(Y117=0,AA117,Y117*AE$6+AA117*AG$6))</f>
        <v>#DIV/0!</v>
      </c>
      <c r="AD117" s="567"/>
      <c r="AE117" s="596" t="e">
        <f>重み!M117</f>
        <v>#DIV/0!</v>
      </c>
      <c r="AF117" s="581"/>
      <c r="AG117" s="644" t="e">
        <f>SUM(AG118,AG119)</f>
        <v>#DIV/0!</v>
      </c>
      <c r="AI117" s="2358">
        <v>3</v>
      </c>
      <c r="AJ117" s="2358"/>
      <c r="AK117" s="2358"/>
      <c r="AL117" s="2358"/>
      <c r="AM117" s="2358"/>
      <c r="AN117" s="2358">
        <v>3</v>
      </c>
      <c r="AO117" s="2358"/>
      <c r="AP117" s="2358"/>
      <c r="AQ117" s="2358"/>
      <c r="AR117" s="2358"/>
      <c r="AS117" s="2355" t="e">
        <f>ROUNDDOWN(AW117,1)</f>
        <v>#DIV/0!</v>
      </c>
      <c r="AT117" s="810" t="e">
        <f>P117</f>
        <v>#DIV/0!</v>
      </c>
      <c r="AU117" s="677"/>
      <c r="AV117" s="2329"/>
      <c r="AW117" s="2354" t="e">
        <f>SUMPRODUCT($AZ$7:$BI$7,AI117:AR117)/AY117</f>
        <v>#DIV/0!</v>
      </c>
      <c r="AY117" s="2353" t="e">
        <f>SUMPRODUCT($AZ$7:$BI$7,AZ117:BI117)</f>
        <v>#DIV/0!</v>
      </c>
      <c r="AZ117" s="2339">
        <f t="shared" si="75"/>
        <v>1</v>
      </c>
      <c r="BA117" s="2339">
        <f t="shared" si="75"/>
        <v>0</v>
      </c>
      <c r="BB117" s="2339">
        <f t="shared" si="75"/>
        <v>0</v>
      </c>
      <c r="BC117" s="2339">
        <f t="shared" si="75"/>
        <v>0</v>
      </c>
      <c r="BD117" s="2339">
        <f t="shared" si="75"/>
        <v>0</v>
      </c>
      <c r="BE117" s="2339">
        <f t="shared" si="75"/>
        <v>1</v>
      </c>
      <c r="BF117" s="2339">
        <f t="shared" si="75"/>
        <v>0</v>
      </c>
      <c r="BG117" s="2339">
        <f t="shared" si="75"/>
        <v>0</v>
      </c>
      <c r="BH117" s="2339">
        <f t="shared" si="75"/>
        <v>0</v>
      </c>
      <c r="BI117" s="2339">
        <f t="shared" si="75"/>
        <v>0</v>
      </c>
    </row>
    <row r="118" spans="2:61" ht="14.25" customHeight="1">
      <c r="B118" s="631"/>
      <c r="C118" s="757">
        <v>3.1</v>
      </c>
      <c r="D118" s="758" t="s">
        <v>1259</v>
      </c>
      <c r="E118" s="759"/>
      <c r="F118" s="701"/>
      <c r="G118" s="2562" t="s">
        <v>3238</v>
      </c>
      <c r="H118" s="2561" t="s">
        <v>3238</v>
      </c>
      <c r="I118" s="3107"/>
      <c r="J118" s="3108"/>
      <c r="K118" s="3108"/>
      <c r="L118" s="3108"/>
      <c r="M118" s="3109"/>
      <c r="N118" s="2902">
        <v>0</v>
      </c>
      <c r="O118" s="752">
        <f t="shared" si="46"/>
        <v>3</v>
      </c>
      <c r="P118" s="728" t="e">
        <f t="shared" si="72"/>
        <v>#DIV/0!</v>
      </c>
      <c r="Q118" s="2779"/>
      <c r="R118" s="2790">
        <f t="shared" si="47"/>
        <v>0</v>
      </c>
      <c r="S118" s="641" t="e">
        <f t="shared" si="73"/>
        <v>#DIV/0!</v>
      </c>
      <c r="T118" s="642"/>
      <c r="U118" s="567"/>
      <c r="V118" s="2621">
        <f>IF(採点Q3!F56="対象外",0,採点Q3!F56)</f>
        <v>3</v>
      </c>
      <c r="W118" s="2982"/>
      <c r="Y118" s="2975">
        <f t="shared" ref="Y118:Y119" si="77">IF($Y$3=4,N118,V118)</f>
        <v>3</v>
      </c>
      <c r="Z118" s="2611" t="e">
        <f>重み!D118</f>
        <v>#DIV/0!</v>
      </c>
      <c r="AA118" s="2975">
        <f t="shared" ref="AA118:AA119" si="78">IF($Y$3=4,Q118,W118)</f>
        <v>0</v>
      </c>
      <c r="AB118" s="2611" t="e">
        <f>重み!E118</f>
        <v>#DIV/0!</v>
      </c>
      <c r="AC118" s="2610"/>
      <c r="AD118" s="567"/>
      <c r="AE118" s="596" t="e">
        <f>重み!M118</f>
        <v>#DIV/0!</v>
      </c>
      <c r="AF118" s="581"/>
      <c r="AG118" s="2609" t="e">
        <f>重み!N118</f>
        <v>#DIV/0!</v>
      </c>
    </row>
    <row r="119" spans="2:61" ht="14.25" customHeight="1" thickBot="1">
      <c r="B119" s="631"/>
      <c r="C119" s="760">
        <v>3.2</v>
      </c>
      <c r="D119" s="744" t="s">
        <v>1260</v>
      </c>
      <c r="E119" s="761"/>
      <c r="F119" s="685"/>
      <c r="G119" s="2560" t="s">
        <v>3239</v>
      </c>
      <c r="H119" s="2559"/>
      <c r="I119" s="3096"/>
      <c r="J119" s="3097"/>
      <c r="K119" s="3097"/>
      <c r="L119" s="3097"/>
      <c r="M119" s="3098"/>
      <c r="N119" s="2950">
        <v>0</v>
      </c>
      <c r="O119" s="670">
        <f t="shared" si="46"/>
        <v>3</v>
      </c>
      <c r="P119" s="728" t="e">
        <f t="shared" si="72"/>
        <v>#DIV/0!</v>
      </c>
      <c r="Q119" s="2779"/>
      <c r="R119" s="2790">
        <f t="shared" si="47"/>
        <v>0</v>
      </c>
      <c r="S119" s="762" t="e">
        <f t="shared" si="73"/>
        <v>#DIV/0!</v>
      </c>
      <c r="T119" s="642"/>
      <c r="U119" s="567"/>
      <c r="V119" s="2622">
        <f>IF(採点Q3!F87="対象外",0,採点Q3!F87)</f>
        <v>3</v>
      </c>
      <c r="W119" s="2982"/>
      <c r="Y119" s="2975">
        <f t="shared" si="77"/>
        <v>3</v>
      </c>
      <c r="Z119" s="2611" t="e">
        <f>重み!D119</f>
        <v>#DIV/0!</v>
      </c>
      <c r="AA119" s="2975">
        <f t="shared" si="78"/>
        <v>0</v>
      </c>
      <c r="AB119" s="2611" t="e">
        <f>重み!E119</f>
        <v>#DIV/0!</v>
      </c>
      <c r="AC119" s="2610"/>
      <c r="AD119" s="567"/>
      <c r="AE119" s="596" t="e">
        <f>重み!M119</f>
        <v>#DIV/0!</v>
      </c>
      <c r="AF119" s="581"/>
      <c r="AG119" s="596" t="e">
        <f>重み!N119</f>
        <v>#DIV/0!</v>
      </c>
    </row>
    <row r="120" spans="2:61" ht="14.25" hidden="1" customHeight="1" thickBot="1">
      <c r="B120" s="763"/>
      <c r="C120" s="764"/>
      <c r="D120" s="765"/>
      <c r="E120" s="766"/>
      <c r="F120" s="767"/>
      <c r="G120" s="2558"/>
      <c r="H120" s="2558"/>
      <c r="I120" s="3096"/>
      <c r="J120" s="3097"/>
      <c r="K120" s="3097"/>
      <c r="L120" s="3097"/>
      <c r="M120" s="3098"/>
      <c r="N120" s="739"/>
      <c r="O120" s="739">
        <f t="shared" si="46"/>
        <v>0</v>
      </c>
      <c r="P120" s="768">
        <f t="shared" si="72"/>
        <v>0</v>
      </c>
      <c r="Q120" s="729"/>
      <c r="R120" s="2967">
        <f t="shared" si="47"/>
        <v>0</v>
      </c>
      <c r="S120" s="769">
        <f t="shared" si="73"/>
        <v>0</v>
      </c>
      <c r="T120" s="642"/>
      <c r="U120" s="567"/>
      <c r="V120" s="2984"/>
      <c r="W120" s="2982"/>
      <c r="Y120" s="690"/>
      <c r="Z120" s="629">
        <f>重み!D120</f>
        <v>0</v>
      </c>
      <c r="AA120" s="690"/>
      <c r="AB120" s="629">
        <f>重み!E120</f>
        <v>0</v>
      </c>
      <c r="AC120" s="617"/>
      <c r="AD120" s="567"/>
      <c r="AE120" s="596" t="e">
        <f>重み!M120</f>
        <v>#DIV/0!</v>
      </c>
      <c r="AF120" s="581"/>
      <c r="AG120" s="596">
        <f>重み!N120</f>
        <v>0</v>
      </c>
    </row>
    <row r="121" spans="2:61" ht="14.25" customHeight="1" thickBot="1">
      <c r="B121" s="770" t="s">
        <v>1261</v>
      </c>
      <c r="C121" s="771"/>
      <c r="D121" s="771"/>
      <c r="E121" s="771"/>
      <c r="F121" s="772"/>
      <c r="G121" s="2557"/>
      <c r="H121" s="2557"/>
      <c r="I121" s="773"/>
      <c r="J121" s="774"/>
      <c r="K121" s="774"/>
      <c r="L121" s="774"/>
      <c r="M121" s="775"/>
      <c r="N121" s="776"/>
      <c r="O121" s="776"/>
      <c r="P121" s="777">
        <f t="shared" si="72"/>
        <v>0</v>
      </c>
      <c r="Q121" s="778"/>
      <c r="R121" s="778"/>
      <c r="S121" s="779">
        <f t="shared" si="73"/>
        <v>0</v>
      </c>
      <c r="T121" s="780" t="e">
        <f>ROUNDDOWN(AC121,1)</f>
        <v>#DIV/0!</v>
      </c>
      <c r="U121" s="567"/>
      <c r="V121" s="742"/>
      <c r="W121" s="2982"/>
      <c r="Y121" s="690"/>
      <c r="Z121" s="2611">
        <f>重み!D121</f>
        <v>0</v>
      </c>
      <c r="AA121" s="690"/>
      <c r="AB121" s="2611"/>
      <c r="AC121" s="3017" t="e">
        <f>Z122*AC122+Z145*AC145+Z172*AC172</f>
        <v>#DIV/0!</v>
      </c>
      <c r="AD121" s="567"/>
      <c r="AE121" s="596" t="e">
        <f>重み!M121</f>
        <v>#DIV/0!</v>
      </c>
      <c r="AF121" s="581"/>
      <c r="AG121" s="596" t="e">
        <f>重み!N121</f>
        <v>#DIV/0!</v>
      </c>
      <c r="AI121" s="2334"/>
      <c r="AJ121" s="2334"/>
      <c r="AK121" s="2334"/>
      <c r="AL121" s="2334"/>
      <c r="AM121" s="2334"/>
      <c r="AN121" s="2334"/>
      <c r="AO121" s="2334"/>
      <c r="AP121" s="2334"/>
      <c r="AQ121" s="2334"/>
      <c r="AR121" s="2341"/>
      <c r="AS121" s="2347"/>
      <c r="AT121" s="2348"/>
      <c r="AU121" s="2335" t="e">
        <f>ROUNDDOWN(AW121,1)</f>
        <v>#DIV/0!</v>
      </c>
      <c r="AW121" s="2354" t="e">
        <f>AT122*AW122+AT145*AW145+AT172*AW172</f>
        <v>#DIV/0!</v>
      </c>
    </row>
    <row r="122" spans="2:61" ht="14.25" customHeight="1" thickBot="1">
      <c r="B122" s="781" t="s">
        <v>1262</v>
      </c>
      <c r="C122" s="619" t="s">
        <v>1263</v>
      </c>
      <c r="D122" s="619"/>
      <c r="E122" s="619"/>
      <c r="F122" s="782"/>
      <c r="G122" s="2552"/>
      <c r="H122" s="2552"/>
      <c r="I122" s="621"/>
      <c r="J122" s="622"/>
      <c r="K122" s="622"/>
      <c r="L122" s="622"/>
      <c r="M122" s="623"/>
      <c r="N122" s="783"/>
      <c r="O122" s="783">
        <f t="shared" si="46"/>
        <v>0</v>
      </c>
      <c r="P122" s="625" t="e">
        <f t="shared" si="72"/>
        <v>#DIV/0!</v>
      </c>
      <c r="Q122" s="626"/>
      <c r="R122" s="626">
        <f t="shared" si="47"/>
        <v>0</v>
      </c>
      <c r="S122" s="627">
        <f t="shared" si="73"/>
        <v>0</v>
      </c>
      <c r="T122" s="628" t="e">
        <f>ROUNDDOWN(AC122,1)</f>
        <v>#DIV/0!</v>
      </c>
      <c r="U122" s="567"/>
      <c r="V122" s="742"/>
      <c r="W122" s="2982"/>
      <c r="Y122" s="690"/>
      <c r="Z122" s="629" t="e">
        <f>重み!D122</f>
        <v>#DIV/0!</v>
      </c>
      <c r="AA122" s="690"/>
      <c r="AB122" s="629"/>
      <c r="AC122" s="3017" t="e">
        <f>AC123*Z123+AC124*Z124+AC129*Z129+AC138*Z138</f>
        <v>#DIV/0!</v>
      </c>
      <c r="AD122" s="567"/>
      <c r="AE122" s="596" t="e">
        <f>重み!M122</f>
        <v>#DIV/0!</v>
      </c>
      <c r="AF122" s="581"/>
      <c r="AG122" s="596" t="e">
        <f>重み!N122</f>
        <v>#DIV/0!</v>
      </c>
      <c r="AI122" s="2336"/>
      <c r="AJ122" s="2336"/>
      <c r="AK122" s="2336"/>
      <c r="AL122" s="2336"/>
      <c r="AM122" s="2336"/>
      <c r="AN122" s="2336"/>
      <c r="AO122" s="2336"/>
      <c r="AP122" s="2336"/>
      <c r="AQ122" s="2336"/>
      <c r="AR122" s="2342"/>
      <c r="AS122" s="2349"/>
      <c r="AT122" s="2350" t="e">
        <f>P122</f>
        <v>#DIV/0!</v>
      </c>
      <c r="AU122" s="628" t="e">
        <f>ROUNDDOWN(AW122,1)</f>
        <v>#DIV/0!</v>
      </c>
      <c r="AW122" s="2354" t="e">
        <f>SUMPRODUCT(AT123:AT144,AW123:AW144)</f>
        <v>#DIV/0!</v>
      </c>
    </row>
    <row r="123" spans="2:61" ht="14.25" customHeight="1" thickBot="1">
      <c r="B123" s="631">
        <v>1</v>
      </c>
      <c r="C123" s="633" t="s">
        <v>2182</v>
      </c>
      <c r="D123" s="633"/>
      <c r="E123" s="633"/>
      <c r="F123" s="784"/>
      <c r="G123" s="2556" t="s">
        <v>3240</v>
      </c>
      <c r="H123" s="2556" t="s">
        <v>3240</v>
      </c>
      <c r="I123" s="3107" t="s">
        <v>3563</v>
      </c>
      <c r="J123" s="3108"/>
      <c r="K123" s="3108"/>
      <c r="L123" s="3108"/>
      <c r="M123" s="3109"/>
      <c r="N123" s="2947">
        <v>3</v>
      </c>
      <c r="O123" s="785">
        <f t="shared" si="46"/>
        <v>0</v>
      </c>
      <c r="P123" s="728" t="e">
        <f t="shared" si="72"/>
        <v>#DIV/0!</v>
      </c>
      <c r="Q123" s="2787"/>
      <c r="R123" s="2787">
        <f t="shared" si="47"/>
        <v>0</v>
      </c>
      <c r="S123" s="641" t="e">
        <f t="shared" si="73"/>
        <v>#DIV/0!</v>
      </c>
      <c r="T123" s="642">
        <f>ROUNDDOWN(AC123,1)</f>
        <v>0</v>
      </c>
      <c r="U123" s="567"/>
      <c r="V123" s="2621">
        <f>採点LR1!F16</f>
        <v>0</v>
      </c>
      <c r="W123" s="2982"/>
      <c r="Y123" s="2979">
        <f t="shared" ref="Y123" si="79">IF($Y$3=4,N123,V123)</f>
        <v>0</v>
      </c>
      <c r="Z123" s="2611" t="e">
        <f>重み!D123</f>
        <v>#DIV/0!</v>
      </c>
      <c r="AA123" s="2979">
        <f t="shared" ref="AA123:AA129" si="80">IF($Y$3=4,Q123,W123)</f>
        <v>0</v>
      </c>
      <c r="AB123" s="2611" t="e">
        <f>重み!E123</f>
        <v>#DIV/0!</v>
      </c>
      <c r="AC123" s="2610">
        <f>IF(AA123=0,Y123,Y123*AE$6+AA123*AG$6)</f>
        <v>0</v>
      </c>
      <c r="AD123" s="567"/>
      <c r="AE123" s="596" t="e">
        <f>重み!M123</f>
        <v>#DIV/0!</v>
      </c>
      <c r="AF123" s="581"/>
      <c r="AG123" s="596" t="e">
        <f>重み!N123</f>
        <v>#DIV/0!</v>
      </c>
      <c r="AI123" s="2358"/>
      <c r="AJ123" s="2358"/>
      <c r="AK123" s="2358"/>
      <c r="AL123" s="2358"/>
      <c r="AM123" s="2358"/>
      <c r="AN123" s="2358"/>
      <c r="AO123" s="2358"/>
      <c r="AP123" s="2358"/>
      <c r="AQ123" s="2358"/>
      <c r="AR123" s="2358"/>
      <c r="AS123" s="2355">
        <f t="shared" ref="AS123:AS138" si="81">ROUNDDOWN(AW123,1)</f>
        <v>0</v>
      </c>
      <c r="AT123" s="810" t="e">
        <f>P123</f>
        <v>#DIV/0!</v>
      </c>
      <c r="AU123" s="677"/>
      <c r="AV123" s="2329"/>
      <c r="AW123" s="2378">
        <f>V123</f>
        <v>0</v>
      </c>
      <c r="AY123" s="2353" t="e">
        <f>SUMPRODUCT($AZ$7:$BI$7,AZ123:BI123)</f>
        <v>#DIV/0!</v>
      </c>
      <c r="AZ123" s="2339">
        <f t="shared" ref="AZ123:BI124" si="82">IF(AI123&gt;0,1,0)</f>
        <v>0</v>
      </c>
      <c r="BA123" s="2339">
        <f t="shared" si="82"/>
        <v>0</v>
      </c>
      <c r="BB123" s="2339">
        <f t="shared" si="82"/>
        <v>0</v>
      </c>
      <c r="BC123" s="2339">
        <f t="shared" si="82"/>
        <v>0</v>
      </c>
      <c r="BD123" s="2339">
        <f t="shared" si="82"/>
        <v>0</v>
      </c>
      <c r="BE123" s="2339">
        <f t="shared" si="82"/>
        <v>0</v>
      </c>
      <c r="BF123" s="2339">
        <f t="shared" si="82"/>
        <v>0</v>
      </c>
      <c r="BG123" s="2339">
        <f t="shared" si="82"/>
        <v>0</v>
      </c>
      <c r="BH123" s="2339">
        <f t="shared" si="82"/>
        <v>0</v>
      </c>
      <c r="BI123" s="2339">
        <f t="shared" si="82"/>
        <v>0</v>
      </c>
    </row>
    <row r="124" spans="2:61" ht="14.25" customHeight="1" thickBot="1">
      <c r="B124" s="786">
        <v>2</v>
      </c>
      <c r="C124" s="671" t="s">
        <v>1264</v>
      </c>
      <c r="D124" s="671"/>
      <c r="E124" s="671"/>
      <c r="F124" s="787"/>
      <c r="G124" s="2555" t="s">
        <v>3241</v>
      </c>
      <c r="H124" s="2555" t="s">
        <v>3241</v>
      </c>
      <c r="I124" s="3107" t="s">
        <v>3568</v>
      </c>
      <c r="J124" s="3108"/>
      <c r="K124" s="3108"/>
      <c r="L124" s="3108"/>
      <c r="M124" s="3109"/>
      <c r="N124" s="2947">
        <v>3</v>
      </c>
      <c r="O124" s="785">
        <f t="shared" si="46"/>
        <v>0</v>
      </c>
      <c r="P124" s="755" t="e">
        <f t="shared" si="72"/>
        <v>#DIV/0!</v>
      </c>
      <c r="Q124" s="2786"/>
      <c r="R124" s="2786">
        <f t="shared" si="47"/>
        <v>0</v>
      </c>
      <c r="S124" s="676" t="e">
        <f t="shared" si="73"/>
        <v>#DIV/0!</v>
      </c>
      <c r="T124" s="677">
        <f>ROUNDDOWN(AC124,1)</f>
        <v>0</v>
      </c>
      <c r="U124" s="567"/>
      <c r="V124" s="2234">
        <f>採点LR1!F28</f>
        <v>0</v>
      </c>
      <c r="W124" s="2982"/>
      <c r="Y124" s="2979">
        <f>IF($Y$3=4,N124,V124)</f>
        <v>0</v>
      </c>
      <c r="Z124" s="2611" t="e">
        <f>重み!D124</f>
        <v>#DIV/0!</v>
      </c>
      <c r="AA124" s="2979">
        <f t="shared" si="80"/>
        <v>0</v>
      </c>
      <c r="AB124" s="2611" t="e">
        <f>重み!E124</f>
        <v>#DIV/0!</v>
      </c>
      <c r="AC124" s="2610">
        <f>IF(AA124=0,Y124,Y124*AE$6+AA124*AG$6)</f>
        <v>0</v>
      </c>
      <c r="AD124" s="567"/>
      <c r="AE124" s="596" t="e">
        <f>重み!M124</f>
        <v>#DIV/0!</v>
      </c>
      <c r="AF124" s="581"/>
      <c r="AG124" s="596" t="e">
        <f>重み!N124</f>
        <v>#DIV/0!</v>
      </c>
      <c r="AI124" s="2358">
        <v>3</v>
      </c>
      <c r="AJ124" s="2358"/>
      <c r="AK124" s="2358"/>
      <c r="AL124" s="2358"/>
      <c r="AM124" s="2358"/>
      <c r="AN124" s="2358">
        <v>3</v>
      </c>
      <c r="AO124" s="2358"/>
      <c r="AP124" s="2358"/>
      <c r="AQ124" s="2358"/>
      <c r="AR124" s="2358"/>
      <c r="AS124" s="2355" t="e">
        <f t="shared" si="81"/>
        <v>#DIV/0!</v>
      </c>
      <c r="AT124" s="810" t="e">
        <f>P124</f>
        <v>#DIV/0!</v>
      </c>
      <c r="AU124" s="677"/>
      <c r="AV124" s="2329"/>
      <c r="AW124" s="2354" t="e">
        <f>SUMPRODUCT($AZ$7:$BI$7,AI124:AR124)/AY124</f>
        <v>#DIV/0!</v>
      </c>
      <c r="AY124" s="2353" t="e">
        <f>SUMPRODUCT($AZ$7:$BI$7,AZ124:BI124)</f>
        <v>#DIV/0!</v>
      </c>
      <c r="AZ124" s="2339">
        <f t="shared" si="82"/>
        <v>1</v>
      </c>
      <c r="BA124" s="2339">
        <f t="shared" si="82"/>
        <v>0</v>
      </c>
      <c r="BB124" s="2339">
        <f t="shared" si="82"/>
        <v>0</v>
      </c>
      <c r="BC124" s="2339">
        <f t="shared" si="82"/>
        <v>0</v>
      </c>
      <c r="BD124" s="2339">
        <f t="shared" si="82"/>
        <v>0</v>
      </c>
      <c r="BE124" s="2339">
        <f t="shared" si="82"/>
        <v>1</v>
      </c>
      <c r="BF124" s="2339">
        <f t="shared" si="82"/>
        <v>0</v>
      </c>
      <c r="BG124" s="2339">
        <f t="shared" si="82"/>
        <v>0</v>
      </c>
      <c r="BH124" s="2339">
        <f t="shared" si="82"/>
        <v>0</v>
      </c>
      <c r="BI124" s="2339">
        <f t="shared" si="82"/>
        <v>0</v>
      </c>
    </row>
    <row r="125" spans="2:61" ht="14.25" hidden="1" customHeight="1">
      <c r="B125" s="788"/>
      <c r="C125" s="669"/>
      <c r="D125" s="671"/>
      <c r="E125" s="671"/>
      <c r="F125" s="787"/>
      <c r="G125" s="2554"/>
      <c r="H125" s="2554"/>
      <c r="I125" s="3107"/>
      <c r="J125" s="3108"/>
      <c r="K125" s="3108"/>
      <c r="L125" s="3108"/>
      <c r="M125" s="3109"/>
      <c r="N125" s="2948">
        <v>0</v>
      </c>
      <c r="O125" s="658">
        <f t="shared" si="46"/>
        <v>0</v>
      </c>
      <c r="P125" s="659" t="e">
        <f t="shared" ref="P125:P131" si="83">Z125</f>
        <v>#DIV/0!</v>
      </c>
      <c r="Q125" s="2788"/>
      <c r="R125" s="2788">
        <f t="shared" si="47"/>
        <v>0</v>
      </c>
      <c r="S125" s="641" t="e">
        <f t="shared" ref="S125:S131" si="84">AB125</f>
        <v>#DIV/0!</v>
      </c>
      <c r="T125" s="654"/>
      <c r="U125" s="567"/>
      <c r="W125" s="2982"/>
      <c r="Y125" s="1"/>
      <c r="Z125" s="2611" t="e">
        <f>重み!D125</f>
        <v>#DIV/0!</v>
      </c>
      <c r="AA125" s="1"/>
      <c r="AB125" s="2611" t="e">
        <f>重み!E125</f>
        <v>#DIV/0!</v>
      </c>
      <c r="AC125" s="2610"/>
      <c r="AD125" s="567"/>
      <c r="AE125" s="596" t="e">
        <f>重み!M125</f>
        <v>#DIV/0!</v>
      </c>
      <c r="AF125" s="581"/>
      <c r="AG125" s="596" t="e">
        <f>重み!N125</f>
        <v>#DIV/0!</v>
      </c>
      <c r="AS125" s="2377">
        <f t="shared" si="81"/>
        <v>0</v>
      </c>
    </row>
    <row r="126" spans="2:61" ht="14.25" hidden="1" customHeight="1" thickBot="1">
      <c r="B126" s="788"/>
      <c r="C126" s="669"/>
      <c r="D126" s="744"/>
      <c r="E126" s="671"/>
      <c r="F126" s="787"/>
      <c r="G126" s="2554"/>
      <c r="H126" s="2554"/>
      <c r="I126" s="3096"/>
      <c r="J126" s="3097"/>
      <c r="K126" s="3097"/>
      <c r="L126" s="3097"/>
      <c r="M126" s="3098"/>
      <c r="N126" s="2950">
        <v>0</v>
      </c>
      <c r="O126" s="670">
        <f t="shared" si="46"/>
        <v>0</v>
      </c>
      <c r="P126" s="659" t="e">
        <f t="shared" si="83"/>
        <v>#DIV/0!</v>
      </c>
      <c r="Q126" s="2788"/>
      <c r="R126" s="2788">
        <f t="shared" si="47"/>
        <v>0</v>
      </c>
      <c r="S126" s="641" t="e">
        <f t="shared" ref="S126:S128" si="85">AB126</f>
        <v>#DIV/0!</v>
      </c>
      <c r="T126" s="642"/>
      <c r="U126" s="567"/>
      <c r="W126" s="2982"/>
      <c r="Y126" s="1"/>
      <c r="Z126" s="2611" t="e">
        <f>重み!D126</f>
        <v>#DIV/0!</v>
      </c>
      <c r="AA126" s="1"/>
      <c r="AB126" s="2611" t="e">
        <f>重み!E126</f>
        <v>#DIV/0!</v>
      </c>
      <c r="AC126" s="2610"/>
      <c r="AD126" s="567"/>
      <c r="AE126" s="596" t="e">
        <f>重み!M126</f>
        <v>#DIV/0!</v>
      </c>
      <c r="AF126" s="581"/>
      <c r="AG126" s="596" t="e">
        <f>重み!N126</f>
        <v>#DIV/0!</v>
      </c>
      <c r="AS126" s="2377">
        <f t="shared" si="81"/>
        <v>0</v>
      </c>
    </row>
    <row r="127" spans="2:61" ht="14.25" hidden="1" customHeight="1">
      <c r="B127" s="788"/>
      <c r="C127" s="790"/>
      <c r="D127" s="744"/>
      <c r="E127" s="671"/>
      <c r="F127" s="787"/>
      <c r="G127" s="2554"/>
      <c r="H127" s="2554"/>
      <c r="I127" s="3096"/>
      <c r="J127" s="3097"/>
      <c r="K127" s="3097"/>
      <c r="L127" s="3097"/>
      <c r="M127" s="3098"/>
      <c r="N127" s="2902">
        <v>0</v>
      </c>
      <c r="O127" s="752">
        <f t="shared" si="46"/>
        <v>0</v>
      </c>
      <c r="P127" s="659" t="e">
        <f t="shared" si="83"/>
        <v>#DIV/0!</v>
      </c>
      <c r="Q127" s="2788"/>
      <c r="R127" s="2788">
        <f t="shared" si="47"/>
        <v>0</v>
      </c>
      <c r="S127" s="641" t="e">
        <f t="shared" si="85"/>
        <v>#DIV/0!</v>
      </c>
      <c r="T127" s="642"/>
      <c r="U127" s="567"/>
      <c r="W127" s="2982"/>
      <c r="Y127" s="1"/>
      <c r="Z127" s="2611" t="e">
        <f>重み!D127</f>
        <v>#DIV/0!</v>
      </c>
      <c r="AA127" s="1"/>
      <c r="AB127" s="2611" t="e">
        <f>重み!E127</f>
        <v>#DIV/0!</v>
      </c>
      <c r="AC127" s="2610"/>
      <c r="AD127" s="567"/>
      <c r="AE127" s="596" t="e">
        <f>重み!M127</f>
        <v>#DIV/0!</v>
      </c>
      <c r="AF127" s="581"/>
      <c r="AG127" s="596" t="e">
        <f>重み!N127</f>
        <v>#DIV/0!</v>
      </c>
      <c r="AS127" s="2377">
        <f t="shared" si="81"/>
        <v>0</v>
      </c>
    </row>
    <row r="128" spans="2:61" ht="14.25" hidden="1" customHeight="1" thickBot="1">
      <c r="B128" s="792"/>
      <c r="C128" s="790"/>
      <c r="D128" s="744"/>
      <c r="E128" s="671"/>
      <c r="F128" s="787"/>
      <c r="G128" s="2554"/>
      <c r="H128" s="2554"/>
      <c r="I128" s="3114"/>
      <c r="J128" s="3115"/>
      <c r="K128" s="3115"/>
      <c r="L128" s="3115"/>
      <c r="M128" s="3116"/>
      <c r="N128" s="2950">
        <v>0</v>
      </c>
      <c r="O128" s="670">
        <f t="shared" si="46"/>
        <v>0</v>
      </c>
      <c r="P128" s="659" t="e">
        <f t="shared" si="83"/>
        <v>#DIV/0!</v>
      </c>
      <c r="Q128" s="2788"/>
      <c r="R128" s="2788">
        <f t="shared" si="47"/>
        <v>0</v>
      </c>
      <c r="S128" s="641" t="e">
        <f t="shared" si="85"/>
        <v>#DIV/0!</v>
      </c>
      <c r="T128" s="723"/>
      <c r="U128" s="567"/>
      <c r="W128" s="2982"/>
      <c r="Y128" s="1"/>
      <c r="Z128" s="2611" t="e">
        <f>重み!D128</f>
        <v>#DIV/0!</v>
      </c>
      <c r="AA128" s="1"/>
      <c r="AB128" s="2611" t="e">
        <f>重み!E128</f>
        <v>#DIV/0!</v>
      </c>
      <c r="AC128" s="2610"/>
      <c r="AD128" s="567"/>
      <c r="AE128" s="596" t="e">
        <f>重み!M128</f>
        <v>#DIV/0!</v>
      </c>
      <c r="AF128" s="581"/>
      <c r="AG128" s="596" t="e">
        <f>重み!N128</f>
        <v>#DIV/0!</v>
      </c>
      <c r="AS128" s="2377">
        <f t="shared" si="81"/>
        <v>0</v>
      </c>
    </row>
    <row r="129" spans="2:61" ht="14.25" customHeight="1" thickBot="1">
      <c r="B129" s="786">
        <v>3</v>
      </c>
      <c r="C129" s="671" t="s">
        <v>1269</v>
      </c>
      <c r="D129" s="671"/>
      <c r="E129" s="671"/>
      <c r="F129" s="787"/>
      <c r="G129" s="2554"/>
      <c r="H129" s="2554"/>
      <c r="I129" s="2881" t="str">
        <f>計画書!G23</f>
        <v xml:space="preserve">[BEI][BEIm] = </v>
      </c>
      <c r="J129" s="2880">
        <f>計画書!H23</f>
        <v>0.8</v>
      </c>
      <c r="K129" s="3126"/>
      <c r="L129" s="3126"/>
      <c r="M129" s="3127"/>
      <c r="N129" s="2947">
        <v>3</v>
      </c>
      <c r="O129" s="785">
        <f t="shared" si="46"/>
        <v>0</v>
      </c>
      <c r="P129" s="755" t="e">
        <f t="shared" si="83"/>
        <v>#DIV/0!</v>
      </c>
      <c r="Q129" s="2789"/>
      <c r="R129" s="2789">
        <f t="shared" si="47"/>
        <v>0</v>
      </c>
      <c r="S129" s="676" t="e">
        <f t="shared" si="84"/>
        <v>#DIV/0!</v>
      </c>
      <c r="T129" s="677">
        <f>ROUNDDOWN(AC129,1)</f>
        <v>0</v>
      </c>
      <c r="U129" s="567"/>
      <c r="V129" s="2621">
        <f>採点LR1!F47</f>
        <v>0</v>
      </c>
      <c r="W129" s="2982"/>
      <c r="Y129" s="2979">
        <f>IF($Y$3=4,N129,V129)</f>
        <v>0</v>
      </c>
      <c r="Z129" s="2611" t="e">
        <f>重み!D129</f>
        <v>#DIV/0!</v>
      </c>
      <c r="AA129" s="2979">
        <f t="shared" si="80"/>
        <v>0</v>
      </c>
      <c r="AB129" s="2611" t="e">
        <f>重み!E129</f>
        <v>#DIV/0!</v>
      </c>
      <c r="AC129" s="2610">
        <f>IF(AA129=0,Y129,Y129*AE$6+AA129*AG$6)</f>
        <v>0</v>
      </c>
      <c r="AD129" s="567"/>
      <c r="AE129" s="596" t="e">
        <f>重み!M129</f>
        <v>#DIV/0!</v>
      </c>
      <c r="AF129" s="581"/>
      <c r="AG129" s="596" t="e">
        <f>重み!N129</f>
        <v>#DIV/0!</v>
      </c>
      <c r="AI129" s="2358"/>
      <c r="AJ129" s="2358"/>
      <c r="AK129" s="2358"/>
      <c r="AL129" s="2358"/>
      <c r="AM129" s="2358"/>
      <c r="AN129" s="2358"/>
      <c r="AO129" s="2358"/>
      <c r="AP129" s="2358"/>
      <c r="AQ129" s="2358"/>
      <c r="AR129" s="2358"/>
      <c r="AS129" s="2355">
        <f t="shared" si="81"/>
        <v>0</v>
      </c>
      <c r="AT129" s="810" t="e">
        <f>P129</f>
        <v>#DIV/0!</v>
      </c>
      <c r="AU129" s="677"/>
      <c r="AV129" s="2329"/>
      <c r="AW129" s="2378">
        <f>V129</f>
        <v>0</v>
      </c>
      <c r="AY129" s="2353" t="e">
        <f>SUMPRODUCT($AZ$7:$BI$7,AZ129:BI129)</f>
        <v>#DIV/0!</v>
      </c>
      <c r="AZ129" s="2339">
        <f t="shared" ref="AZ129:BI129" si="86">IF(AI129&gt;0,1,0)</f>
        <v>0</v>
      </c>
      <c r="BA129" s="2339">
        <f t="shared" si="86"/>
        <v>0</v>
      </c>
      <c r="BB129" s="2339">
        <f t="shared" si="86"/>
        <v>0</v>
      </c>
      <c r="BC129" s="2339">
        <f t="shared" si="86"/>
        <v>0</v>
      </c>
      <c r="BD129" s="2339">
        <f t="shared" si="86"/>
        <v>0</v>
      </c>
      <c r="BE129" s="2339">
        <f t="shared" si="86"/>
        <v>0</v>
      </c>
      <c r="BF129" s="2339">
        <f t="shared" si="86"/>
        <v>0</v>
      </c>
      <c r="BG129" s="2339">
        <f t="shared" si="86"/>
        <v>0</v>
      </c>
      <c r="BH129" s="2339">
        <f t="shared" si="86"/>
        <v>0</v>
      </c>
      <c r="BI129" s="2339">
        <f t="shared" si="86"/>
        <v>0</v>
      </c>
    </row>
    <row r="130" spans="2:61" s="2624" customFormat="1" ht="14.25" hidden="1" customHeight="1">
      <c r="B130" s="2661"/>
      <c r="C130" s="2662"/>
      <c r="D130" s="2663" t="s">
        <v>2922</v>
      </c>
      <c r="E130" s="2650"/>
      <c r="F130" s="2651"/>
      <c r="G130" s="2664" t="s">
        <v>3242</v>
      </c>
      <c r="H130" s="2553"/>
      <c r="I130" s="3107"/>
      <c r="J130" s="3108"/>
      <c r="K130" s="3108"/>
      <c r="L130" s="3108"/>
      <c r="M130" s="3109"/>
      <c r="N130" s="2948">
        <v>0</v>
      </c>
      <c r="O130" s="2612">
        <f t="shared" si="46"/>
        <v>0</v>
      </c>
      <c r="P130" s="2652" t="e">
        <f t="shared" si="83"/>
        <v>#DIV/0!</v>
      </c>
      <c r="Q130" s="2788"/>
      <c r="R130" s="2788">
        <f t="shared" si="47"/>
        <v>0</v>
      </c>
      <c r="S130" s="2665">
        <f t="shared" si="84"/>
        <v>0</v>
      </c>
      <c r="T130" s="2653"/>
      <c r="U130" s="2607"/>
      <c r="V130" s="2621"/>
      <c r="W130" s="2982"/>
      <c r="Y130" s="1"/>
      <c r="Z130" s="2611" t="e">
        <f>重み!D130</f>
        <v>#DIV/0!</v>
      </c>
      <c r="AA130" s="1"/>
      <c r="AB130" s="2611">
        <f>重み!F130</f>
        <v>0</v>
      </c>
      <c r="AC130" s="2610"/>
      <c r="AD130" s="2607"/>
      <c r="AE130" s="2609" t="e">
        <f>重み!M130</f>
        <v>#DIV/0!</v>
      </c>
      <c r="AF130" s="2608"/>
      <c r="AG130" s="2609" t="e">
        <f>重み!N130</f>
        <v>#DIV/0!</v>
      </c>
    </row>
    <row r="131" spans="2:61" s="2624" customFormat="1" ht="14.25" hidden="1" customHeight="1" thickBot="1">
      <c r="B131" s="2661"/>
      <c r="C131" s="2662"/>
      <c r="D131" s="2663" t="s">
        <v>2923</v>
      </c>
      <c r="E131" s="2650"/>
      <c r="F131" s="2651"/>
      <c r="G131" s="2553"/>
      <c r="H131" s="2567" t="s">
        <v>3242</v>
      </c>
      <c r="I131" s="3096"/>
      <c r="J131" s="3097"/>
      <c r="K131" s="3097"/>
      <c r="L131" s="3097"/>
      <c r="M131" s="3098"/>
      <c r="N131" s="2952">
        <v>0</v>
      </c>
      <c r="O131" s="2615">
        <f t="shared" si="46"/>
        <v>0</v>
      </c>
      <c r="P131" s="2652" t="e">
        <f t="shared" si="83"/>
        <v>#DIV/0!</v>
      </c>
      <c r="Q131" s="2788"/>
      <c r="R131" s="2788">
        <f t="shared" si="47"/>
        <v>0</v>
      </c>
      <c r="S131" s="2665">
        <f t="shared" si="84"/>
        <v>0</v>
      </c>
      <c r="T131" s="2653"/>
      <c r="U131" s="2607"/>
      <c r="V131" s="2622"/>
      <c r="W131" s="2982"/>
      <c r="Y131" s="1"/>
      <c r="Z131" s="2611" t="e">
        <f>重み!D131</f>
        <v>#DIV/0!</v>
      </c>
      <c r="AA131" s="1"/>
      <c r="AB131" s="2611">
        <f>重み!F131</f>
        <v>0</v>
      </c>
      <c r="AC131" s="2610"/>
      <c r="AD131" s="2607"/>
      <c r="AE131" s="2609" t="e">
        <f>重み!M131</f>
        <v>#DIV/0!</v>
      </c>
      <c r="AF131" s="2608"/>
      <c r="AG131" s="2609" t="e">
        <f>重み!N131</f>
        <v>#DIV/0!</v>
      </c>
    </row>
    <row r="132" spans="2:61" s="2624" customFormat="1" ht="14.25" hidden="1" customHeight="1">
      <c r="B132" s="2666"/>
      <c r="C132" s="2667">
        <v>3.1</v>
      </c>
      <c r="D132" s="2663" t="s">
        <v>1270</v>
      </c>
      <c r="E132" s="2650"/>
      <c r="F132" s="2651"/>
      <c r="G132" s="2668"/>
      <c r="H132" s="2668"/>
      <c r="I132" s="3096"/>
      <c r="J132" s="3097"/>
      <c r="K132" s="3097"/>
      <c r="L132" s="3097"/>
      <c r="M132" s="3098"/>
      <c r="N132" s="2948">
        <v>0</v>
      </c>
      <c r="O132" s="2612">
        <f t="shared" si="46"/>
        <v>0</v>
      </c>
      <c r="P132" s="2652" t="e">
        <f t="shared" si="72"/>
        <v>#DIV/0!</v>
      </c>
      <c r="Q132" s="2788"/>
      <c r="R132" s="2788">
        <f t="shared" si="47"/>
        <v>0</v>
      </c>
      <c r="S132" s="2665" t="e">
        <f t="shared" si="73"/>
        <v>#DIV/0!</v>
      </c>
      <c r="T132" s="2653"/>
      <c r="U132" s="2607"/>
      <c r="V132" s="2621">
        <f>採点LR1!F76</f>
        <v>0</v>
      </c>
      <c r="W132" s="2982"/>
      <c r="Y132" s="1"/>
      <c r="Z132" s="2611" t="e">
        <f>重み!D132</f>
        <v>#DIV/0!</v>
      </c>
      <c r="AA132" s="1"/>
      <c r="AB132" s="2611" t="e">
        <f>重み!E132</f>
        <v>#DIV/0!</v>
      </c>
      <c r="AC132" s="2610"/>
      <c r="AD132" s="2607"/>
      <c r="AE132" s="2609" t="e">
        <f>重み!M132</f>
        <v>#DIV/0!</v>
      </c>
      <c r="AF132" s="2608"/>
      <c r="AG132" s="2609" t="e">
        <f>重み!N132</f>
        <v>#DIV/0!</v>
      </c>
    </row>
    <row r="133" spans="2:61" s="2624" customFormat="1" ht="14.25" hidden="1" customHeight="1">
      <c r="B133" s="2666"/>
      <c r="C133" s="2667">
        <v>3.2</v>
      </c>
      <c r="D133" s="2663" t="s">
        <v>1271</v>
      </c>
      <c r="E133" s="2650"/>
      <c r="F133" s="2651"/>
      <c r="G133" s="2668"/>
      <c r="H133" s="2668"/>
      <c r="I133" s="3096"/>
      <c r="J133" s="3097"/>
      <c r="K133" s="3097"/>
      <c r="L133" s="3097"/>
      <c r="M133" s="3098"/>
      <c r="N133" s="2949">
        <v>0</v>
      </c>
      <c r="O133" s="2618">
        <f t="shared" si="46"/>
        <v>0</v>
      </c>
      <c r="P133" s="2652" t="e">
        <f t="shared" si="72"/>
        <v>#DIV/0!</v>
      </c>
      <c r="Q133" s="2968"/>
      <c r="R133" s="2788">
        <f t="shared" si="47"/>
        <v>0</v>
      </c>
      <c r="S133" s="2665" t="e">
        <f t="shared" si="73"/>
        <v>#DIV/0!</v>
      </c>
      <c r="T133" s="2653"/>
      <c r="U133" s="2607"/>
      <c r="V133" s="2990"/>
      <c r="W133" s="2990"/>
      <c r="Y133" s="1"/>
      <c r="Z133" s="2611" t="e">
        <f>重み!D133</f>
        <v>#DIV/0!</v>
      </c>
      <c r="AA133" s="1"/>
      <c r="AB133" s="2611" t="e">
        <f>重み!E133</f>
        <v>#DIV/0!</v>
      </c>
      <c r="AC133" s="2610"/>
      <c r="AD133" s="2607"/>
      <c r="AE133" s="2609" t="e">
        <f>重み!M133</f>
        <v>#DIV/0!</v>
      </c>
      <c r="AF133" s="2608"/>
      <c r="AG133" s="2609" t="e">
        <f>重み!N133</f>
        <v>#DIV/0!</v>
      </c>
    </row>
    <row r="134" spans="2:61" s="2624" customFormat="1" ht="14.25" hidden="1" customHeight="1" thickBot="1">
      <c r="B134" s="2666"/>
      <c r="C134" s="2667">
        <v>3.3</v>
      </c>
      <c r="D134" s="2663" t="s">
        <v>1272</v>
      </c>
      <c r="E134" s="2650"/>
      <c r="F134" s="2651"/>
      <c r="G134" s="2668"/>
      <c r="H134" s="2668"/>
      <c r="I134" s="3096"/>
      <c r="J134" s="3097"/>
      <c r="K134" s="3097"/>
      <c r="L134" s="3097"/>
      <c r="M134" s="3098"/>
      <c r="N134" s="2949">
        <v>0</v>
      </c>
      <c r="O134" s="2618">
        <f t="shared" si="46"/>
        <v>0</v>
      </c>
      <c r="P134" s="2652" t="e">
        <f t="shared" si="72"/>
        <v>#DIV/0!</v>
      </c>
      <c r="Q134" s="2968"/>
      <c r="R134" s="2788">
        <f t="shared" si="47"/>
        <v>0</v>
      </c>
      <c r="S134" s="2665" t="e">
        <f t="shared" si="73"/>
        <v>#DIV/0!</v>
      </c>
      <c r="T134" s="2653"/>
      <c r="U134" s="2607"/>
      <c r="V134" s="2622">
        <f>採点LR1!F87</f>
        <v>0</v>
      </c>
      <c r="W134" s="2990"/>
      <c r="Y134" s="1"/>
      <c r="Z134" s="2611" t="e">
        <f>重み!D134</f>
        <v>#DIV/0!</v>
      </c>
      <c r="AA134" s="1"/>
      <c r="AB134" s="2611" t="e">
        <f>重み!E134</f>
        <v>#DIV/0!</v>
      </c>
      <c r="AC134" s="2610"/>
      <c r="AD134" s="2607"/>
      <c r="AE134" s="2609" t="e">
        <f>重み!M134</f>
        <v>#DIV/0!</v>
      </c>
      <c r="AF134" s="2608"/>
      <c r="AG134" s="2609" t="e">
        <f>重み!N134</f>
        <v>#DIV/0!</v>
      </c>
    </row>
    <row r="135" spans="2:61" s="2624" customFormat="1" ht="14.25" hidden="1" customHeight="1">
      <c r="B135" s="2666"/>
      <c r="C135" s="2667">
        <v>3.4</v>
      </c>
      <c r="D135" s="2663" t="s">
        <v>1273</v>
      </c>
      <c r="E135" s="2650"/>
      <c r="F135" s="2651"/>
      <c r="G135" s="2668"/>
      <c r="H135" s="2668"/>
      <c r="I135" s="3096"/>
      <c r="J135" s="3097"/>
      <c r="K135" s="3097"/>
      <c r="L135" s="3097"/>
      <c r="M135" s="3098"/>
      <c r="N135" s="2949">
        <v>0</v>
      </c>
      <c r="O135" s="2618">
        <f t="shared" si="46"/>
        <v>0</v>
      </c>
      <c r="P135" s="2652" t="e">
        <f t="shared" si="72"/>
        <v>#DIV/0!</v>
      </c>
      <c r="Q135" s="2968"/>
      <c r="R135" s="2788">
        <f t="shared" si="47"/>
        <v>0</v>
      </c>
      <c r="S135" s="2665" t="e">
        <f t="shared" si="73"/>
        <v>#DIV/0!</v>
      </c>
      <c r="T135" s="2653"/>
      <c r="U135" s="2607"/>
      <c r="V135" s="2986"/>
      <c r="W135" s="2982"/>
      <c r="Y135" s="1"/>
      <c r="Z135" s="2611" t="e">
        <f>重み!D135</f>
        <v>#DIV/0!</v>
      </c>
      <c r="AA135" s="1"/>
      <c r="AB135" s="2611" t="e">
        <f>重み!E135</f>
        <v>#DIV/0!</v>
      </c>
      <c r="AC135" s="2610"/>
      <c r="AD135" s="2607"/>
      <c r="AE135" s="2609" t="e">
        <f>重み!M135</f>
        <v>#DIV/0!</v>
      </c>
      <c r="AF135" s="2608"/>
      <c r="AG135" s="2609" t="e">
        <f>重み!N135</f>
        <v>#DIV/0!</v>
      </c>
    </row>
    <row r="136" spans="2:61" s="2624" customFormat="1" ht="14.25" hidden="1" customHeight="1" thickBot="1">
      <c r="B136" s="2666"/>
      <c r="C136" s="2667">
        <v>3.5</v>
      </c>
      <c r="D136" s="2663" t="s">
        <v>1274</v>
      </c>
      <c r="E136" s="2650"/>
      <c r="F136" s="2651"/>
      <c r="G136" s="2668"/>
      <c r="H136" s="2668"/>
      <c r="I136" s="3096"/>
      <c r="J136" s="3097"/>
      <c r="K136" s="3097"/>
      <c r="L136" s="3097"/>
      <c r="M136" s="3098"/>
      <c r="N136" s="2949">
        <v>0</v>
      </c>
      <c r="O136" s="2618">
        <f t="shared" si="46"/>
        <v>0</v>
      </c>
      <c r="P136" s="2669" t="e">
        <f t="shared" si="72"/>
        <v>#DIV/0!</v>
      </c>
      <c r="Q136" s="2968"/>
      <c r="R136" s="2788">
        <f t="shared" si="47"/>
        <v>0</v>
      </c>
      <c r="S136" s="2665" t="e">
        <f t="shared" si="73"/>
        <v>#DIV/0!</v>
      </c>
      <c r="T136" s="2653"/>
      <c r="U136" s="2607"/>
      <c r="V136" s="2987"/>
      <c r="W136" s="2982"/>
      <c r="Y136" s="1"/>
      <c r="Z136" s="2611" t="e">
        <f>重み!D136</f>
        <v>#DIV/0!</v>
      </c>
      <c r="AA136" s="1"/>
      <c r="AB136" s="2611" t="e">
        <f>重み!E136</f>
        <v>#DIV/0!</v>
      </c>
      <c r="AC136" s="2610"/>
      <c r="AD136" s="2607"/>
      <c r="AE136" s="2609" t="e">
        <f>重み!M136</f>
        <v>#DIV/0!</v>
      </c>
      <c r="AF136" s="2608"/>
      <c r="AG136" s="2609" t="e">
        <f>重み!N136</f>
        <v>#DIV/0!</v>
      </c>
    </row>
    <row r="137" spans="2:61" s="2624" customFormat="1" ht="14.25" hidden="1" customHeight="1" thickBot="1">
      <c r="B137" s="2670"/>
      <c r="C137" s="2667">
        <v>3.6</v>
      </c>
      <c r="D137" s="2663" t="s">
        <v>1938</v>
      </c>
      <c r="E137" s="2650"/>
      <c r="F137" s="2651"/>
      <c r="G137" s="2668"/>
      <c r="H137" s="2668"/>
      <c r="I137" s="3114"/>
      <c r="J137" s="3115"/>
      <c r="K137" s="3115"/>
      <c r="L137" s="3115"/>
      <c r="M137" s="3116"/>
      <c r="N137" s="2952">
        <v>0</v>
      </c>
      <c r="O137" s="2615">
        <f t="shared" si="46"/>
        <v>0</v>
      </c>
      <c r="P137" s="2671">
        <f t="shared" si="72"/>
        <v>0</v>
      </c>
      <c r="Q137" s="2779"/>
      <c r="R137" s="2970">
        <f t="shared" si="47"/>
        <v>0</v>
      </c>
      <c r="S137" s="2665">
        <f t="shared" si="73"/>
        <v>0</v>
      </c>
      <c r="T137" s="2653"/>
      <c r="U137" s="2607"/>
      <c r="V137" s="2623"/>
      <c r="W137" s="2990"/>
      <c r="Y137" s="1"/>
      <c r="Z137" s="2611">
        <f>重み!D137</f>
        <v>0</v>
      </c>
      <c r="AA137" s="1"/>
      <c r="AB137" s="2611">
        <f>重み!E137</f>
        <v>0</v>
      </c>
      <c r="AC137" s="2610"/>
      <c r="AD137" s="2607"/>
      <c r="AE137" s="2609" t="e">
        <f>重み!M137</f>
        <v>#DIV/0!</v>
      </c>
      <c r="AF137" s="2608"/>
      <c r="AG137" s="2609" t="e">
        <f>重み!N137</f>
        <v>#DIV/0!</v>
      </c>
    </row>
    <row r="138" spans="2:61" ht="14.25" customHeight="1">
      <c r="B138" s="786">
        <v>4</v>
      </c>
      <c r="C138" s="671" t="s">
        <v>1275</v>
      </c>
      <c r="D138" s="633"/>
      <c r="E138" s="633"/>
      <c r="F138" s="635"/>
      <c r="G138" s="2554"/>
      <c r="H138" s="2554"/>
      <c r="I138" s="636"/>
      <c r="J138" s="637"/>
      <c r="K138" s="637"/>
      <c r="L138" s="637"/>
      <c r="M138" s="638"/>
      <c r="N138" s="2965" t="e">
        <f t="shared" ref="N138:N139" si="87">ROUNDDOWN(Y138,1)</f>
        <v>#DIV/0!</v>
      </c>
      <c r="O138" s="2221" t="e">
        <f t="shared" si="46"/>
        <v>#DIV/0!</v>
      </c>
      <c r="P138" s="675" t="e">
        <f t="shared" si="72"/>
        <v>#DIV/0!</v>
      </c>
      <c r="Q138" s="2969" t="e">
        <f t="shared" ref="Q138:Q139" si="88">ROUNDDOWN(AA138,1)</f>
        <v>#DIV/0!</v>
      </c>
      <c r="R138" s="2789" t="e">
        <f t="shared" si="47"/>
        <v>#DIV/0!</v>
      </c>
      <c r="S138" s="676" t="e">
        <f t="shared" ref="S138:S139" si="89">AB138</f>
        <v>#DIV/0!</v>
      </c>
      <c r="T138" s="677" t="e">
        <f>ROUNDDOWN(AC138,1)</f>
        <v>#DIV/0!</v>
      </c>
      <c r="U138" s="567"/>
      <c r="V138" s="742"/>
      <c r="W138" s="2982"/>
      <c r="Y138" s="2978" t="e">
        <f>Y139*Z139+Y142*Z142</f>
        <v>#DIV/0!</v>
      </c>
      <c r="Z138" s="2611" t="e">
        <f>重み!D138</f>
        <v>#DIV/0!</v>
      </c>
      <c r="AA138" s="2978" t="e">
        <f>AA139*AB139+AA142*AB142</f>
        <v>#DIV/0!</v>
      </c>
      <c r="AB138" s="644" t="e">
        <f>SUM(AB139,AB142)</f>
        <v>#DIV/0!</v>
      </c>
      <c r="AC138" s="617" t="e">
        <f>IF(AA138=0,Y138,Y138*AE$6+AA138*AG$6)</f>
        <v>#DIV/0!</v>
      </c>
      <c r="AD138" s="567"/>
      <c r="AE138" s="596" t="e">
        <f>重み!M138</f>
        <v>#DIV/0!</v>
      </c>
      <c r="AF138" s="581"/>
      <c r="AG138" s="644" t="e">
        <f>SUM(AG139,AG142)</f>
        <v>#DIV/0!</v>
      </c>
      <c r="AI138" s="2358">
        <v>3</v>
      </c>
      <c r="AJ138" s="2358"/>
      <c r="AK138" s="2358"/>
      <c r="AL138" s="2358"/>
      <c r="AM138" s="2358"/>
      <c r="AN138" s="2358">
        <v>3</v>
      </c>
      <c r="AO138" s="2358"/>
      <c r="AP138" s="2358"/>
      <c r="AQ138" s="2358"/>
      <c r="AR138" s="2358"/>
      <c r="AS138" s="2355" t="e">
        <f t="shared" si="81"/>
        <v>#DIV/0!</v>
      </c>
      <c r="AT138" s="810" t="e">
        <f>P138</f>
        <v>#DIV/0!</v>
      </c>
      <c r="AU138" s="677"/>
      <c r="AV138" s="2329"/>
      <c r="AW138" s="2354" t="e">
        <f>SUMPRODUCT($AZ$7:$BI$7,AI138:AR138)/AY138</f>
        <v>#DIV/0!</v>
      </c>
      <c r="AY138" s="2353" t="e">
        <f>SUMPRODUCT($AZ$7:$BI$7,AZ138:BI138)</f>
        <v>#DIV/0!</v>
      </c>
      <c r="AZ138" s="2339">
        <f t="shared" ref="AZ138:BI138" si="90">IF(AI138&gt;0,1,0)</f>
        <v>1</v>
      </c>
      <c r="BA138" s="2339">
        <f t="shared" si="90"/>
        <v>0</v>
      </c>
      <c r="BB138" s="2339">
        <f t="shared" si="90"/>
        <v>0</v>
      </c>
      <c r="BC138" s="2339">
        <f t="shared" si="90"/>
        <v>0</v>
      </c>
      <c r="BD138" s="2339">
        <f t="shared" si="90"/>
        <v>0</v>
      </c>
      <c r="BE138" s="2339">
        <f t="shared" si="90"/>
        <v>1</v>
      </c>
      <c r="BF138" s="2339">
        <f t="shared" si="90"/>
        <v>0</v>
      </c>
      <c r="BG138" s="2339">
        <f t="shared" si="90"/>
        <v>0</v>
      </c>
      <c r="BH138" s="2339">
        <f t="shared" si="90"/>
        <v>0</v>
      </c>
      <c r="BI138" s="2339">
        <f t="shared" si="90"/>
        <v>0</v>
      </c>
    </row>
    <row r="139" spans="2:61" ht="14.25" customHeight="1" thickBot="1">
      <c r="B139" s="694"/>
      <c r="C139" s="664"/>
      <c r="D139" s="678" t="s">
        <v>1025</v>
      </c>
      <c r="E139" s="647"/>
      <c r="F139" s="680"/>
      <c r="G139" s="2553"/>
      <c r="H139" s="2553"/>
      <c r="I139" s="650"/>
      <c r="J139" s="651"/>
      <c r="K139" s="651"/>
      <c r="L139" s="651"/>
      <c r="M139" s="3010"/>
      <c r="N139" s="3016" t="e">
        <f t="shared" si="87"/>
        <v>#DIV/0!</v>
      </c>
      <c r="O139" s="695" t="e">
        <f t="shared" ref="O139:O193" si="91">ROUNDDOWN(Y139,1)</f>
        <v>#DIV/0!</v>
      </c>
      <c r="P139" s="640" t="e">
        <f t="shared" si="72"/>
        <v>#DIV/0!</v>
      </c>
      <c r="Q139" s="2779" t="e">
        <f t="shared" si="88"/>
        <v>#DIV/0!</v>
      </c>
      <c r="R139" s="2970" t="e">
        <f t="shared" ref="R139:R194" si="92">ROUNDDOWN(AA139,1)</f>
        <v>#DIV/0!</v>
      </c>
      <c r="S139" s="641" t="e">
        <f t="shared" si="89"/>
        <v>#DIV/0!</v>
      </c>
      <c r="T139" s="642"/>
      <c r="U139" s="567"/>
      <c r="V139" s="742"/>
      <c r="W139" s="2982"/>
      <c r="Y139" s="643" t="e">
        <f>SUMPRODUCT(Y140:Y141,Z140:Z141)</f>
        <v>#DIV/0!</v>
      </c>
      <c r="Z139" s="2611" t="e">
        <f>重み!D139</f>
        <v>#DIV/0!</v>
      </c>
      <c r="AA139" s="643" t="e">
        <f>SUMPRODUCT(AA140:AA141,AB140:AB141)</f>
        <v>#DIV/0!</v>
      </c>
      <c r="AB139" s="2611" t="e">
        <f>重み!E139</f>
        <v>#DIV/0!</v>
      </c>
      <c r="AC139" s="617"/>
      <c r="AD139" s="567"/>
      <c r="AE139" s="596" t="e">
        <f>重み!M139</f>
        <v>#DIV/0!</v>
      </c>
      <c r="AF139" s="581"/>
      <c r="AG139" s="596" t="e">
        <f>重み!N139</f>
        <v>#DIV/0!</v>
      </c>
    </row>
    <row r="140" spans="2:61" ht="14.25" customHeight="1">
      <c r="B140" s="694"/>
      <c r="C140" s="796"/>
      <c r="D140" s="656">
        <v>4.0999999999999996</v>
      </c>
      <c r="E140" s="648" t="s">
        <v>1011</v>
      </c>
      <c r="F140" s="685"/>
      <c r="G140" s="2556" t="s">
        <v>3243</v>
      </c>
      <c r="H140" s="2553"/>
      <c r="I140" s="3096" t="s">
        <v>3562</v>
      </c>
      <c r="J140" s="3097"/>
      <c r="K140" s="3097"/>
      <c r="L140" s="3097"/>
      <c r="M140" s="3098"/>
      <c r="N140" s="2948">
        <v>3</v>
      </c>
      <c r="O140" s="658">
        <f t="shared" si="91"/>
        <v>4</v>
      </c>
      <c r="P140" s="728" t="e">
        <f t="shared" si="72"/>
        <v>#DIV/0!</v>
      </c>
      <c r="Q140" s="2780"/>
      <c r="R140" s="2968">
        <f t="shared" si="92"/>
        <v>0</v>
      </c>
      <c r="S140" s="641" t="e">
        <f t="shared" si="73"/>
        <v>#DIV/0!</v>
      </c>
      <c r="T140" s="642"/>
      <c r="U140" s="567"/>
      <c r="V140" s="2621">
        <f>採点LR1!F101</f>
        <v>4</v>
      </c>
      <c r="W140" s="2990"/>
      <c r="Y140" s="660">
        <f t="shared" ref="Y140:Y141" si="93">IF($Y$3=4,N140,V140)</f>
        <v>4</v>
      </c>
      <c r="Z140" s="2611" t="e">
        <f>重み!D140</f>
        <v>#DIV/0!</v>
      </c>
      <c r="AA140" s="660">
        <f t="shared" ref="AA140:AA141" si="94">IF($Y$3=4,Q140,W140)</f>
        <v>0</v>
      </c>
      <c r="AB140" s="2611" t="e">
        <f>重み!E140</f>
        <v>#DIV/0!</v>
      </c>
      <c r="AC140" s="2610"/>
      <c r="AD140" s="567"/>
      <c r="AE140" s="596" t="e">
        <f>重み!M140</f>
        <v>#DIV/0!</v>
      </c>
      <c r="AF140" s="581"/>
      <c r="AG140" s="596"/>
    </row>
    <row r="141" spans="2:61" ht="14.25" customHeight="1" thickBot="1">
      <c r="B141" s="694"/>
      <c r="C141" s="797"/>
      <c r="D141" s="656">
        <v>4.2</v>
      </c>
      <c r="E141" s="648" t="s">
        <v>1019</v>
      </c>
      <c r="F141" s="685"/>
      <c r="G141" s="2556" t="s">
        <v>3243</v>
      </c>
      <c r="H141" s="2553"/>
      <c r="I141" s="3096"/>
      <c r="J141" s="3097"/>
      <c r="K141" s="3097"/>
      <c r="L141" s="3097"/>
      <c r="M141" s="3098"/>
      <c r="N141" s="2952">
        <v>3</v>
      </c>
      <c r="O141" s="663">
        <f t="shared" si="91"/>
        <v>3</v>
      </c>
      <c r="P141" s="728" t="e">
        <f t="shared" si="72"/>
        <v>#DIV/0!</v>
      </c>
      <c r="Q141" s="2780"/>
      <c r="R141" s="2968">
        <f t="shared" si="92"/>
        <v>0</v>
      </c>
      <c r="S141" s="641" t="e">
        <f t="shared" si="73"/>
        <v>#DIV/0!</v>
      </c>
      <c r="T141" s="642"/>
      <c r="U141" s="567"/>
      <c r="V141" s="2622">
        <f>採点LR1!F131</f>
        <v>3</v>
      </c>
      <c r="W141" s="2990"/>
      <c r="Y141" s="660">
        <f t="shared" si="93"/>
        <v>3</v>
      </c>
      <c r="Z141" s="2611" t="e">
        <f>重み!D141</f>
        <v>#DIV/0!</v>
      </c>
      <c r="AA141" s="660">
        <f t="shared" si="94"/>
        <v>0</v>
      </c>
      <c r="AB141" s="2611" t="e">
        <f>重み!E141</f>
        <v>#DIV/0!</v>
      </c>
      <c r="AC141" s="2610"/>
      <c r="AD141" s="567"/>
      <c r="AE141" s="596" t="e">
        <f>重み!M141</f>
        <v>#DIV/0!</v>
      </c>
      <c r="AF141" s="581"/>
      <c r="AG141" s="596"/>
    </row>
    <row r="142" spans="2:61" ht="14.25" customHeight="1" thickBot="1">
      <c r="B142" s="694"/>
      <c r="C142" s="664"/>
      <c r="D142" s="678" t="s">
        <v>1026</v>
      </c>
      <c r="E142" s="647"/>
      <c r="F142" s="680"/>
      <c r="G142" s="2589"/>
      <c r="H142" s="2589"/>
      <c r="I142" s="636"/>
      <c r="J142" s="637"/>
      <c r="K142" s="637"/>
      <c r="L142" s="637"/>
      <c r="M142" s="638"/>
      <c r="N142" s="695" t="e">
        <f>ROUNDDOWN(Y142,1)</f>
        <v>#DIV/0!</v>
      </c>
      <c r="O142" s="695" t="e">
        <f t="shared" si="91"/>
        <v>#DIV/0!</v>
      </c>
      <c r="P142" s="640" t="e">
        <f>Z142</f>
        <v>#DIV/0!</v>
      </c>
      <c r="Q142" s="2779" t="e">
        <f>ROUNDDOWN(AA142,1)</f>
        <v>#DIV/0!</v>
      </c>
      <c r="R142" s="2970" t="e">
        <f t="shared" si="92"/>
        <v>#DIV/0!</v>
      </c>
      <c r="S142" s="641" t="e">
        <f t="shared" ref="S142" si="95">AB142</f>
        <v>#DIV/0!</v>
      </c>
      <c r="T142" s="642"/>
      <c r="U142" s="567"/>
      <c r="V142" s="742"/>
      <c r="W142" s="2982"/>
      <c r="Y142" s="643" t="e">
        <f>SUMPRODUCT(Y143:Y144,Z143:Z144)</f>
        <v>#DIV/0!</v>
      </c>
      <c r="Z142" s="2611" t="e">
        <f>重み!D142</f>
        <v>#DIV/0!</v>
      </c>
      <c r="AA142" s="643" t="e">
        <f>SUMPRODUCT(AA143:AA144,AB143:AB144)</f>
        <v>#DIV/0!</v>
      </c>
      <c r="AB142" s="2611" t="e">
        <f>重み!E142</f>
        <v>#DIV/0!</v>
      </c>
      <c r="AC142" s="617"/>
      <c r="AD142" s="567"/>
      <c r="AE142" s="596" t="e">
        <f>重み!M142</f>
        <v>#DIV/0!</v>
      </c>
      <c r="AF142" s="581"/>
      <c r="AG142" s="596" t="e">
        <f>重み!N142</f>
        <v>#DIV/0!</v>
      </c>
    </row>
    <row r="143" spans="2:61" ht="14.25" customHeight="1">
      <c r="B143" s="694"/>
      <c r="C143" s="796"/>
      <c r="D143" s="656">
        <v>4.0999999999999996</v>
      </c>
      <c r="E143" s="648" t="s">
        <v>1011</v>
      </c>
      <c r="F143" s="685"/>
      <c r="G143" s="2589"/>
      <c r="H143" s="2556" t="s">
        <v>3243</v>
      </c>
      <c r="I143" s="3096"/>
      <c r="J143" s="3097"/>
      <c r="K143" s="3097"/>
      <c r="L143" s="3097"/>
      <c r="M143" s="3098"/>
      <c r="N143" s="2948">
        <v>0</v>
      </c>
      <c r="O143" s="658">
        <f t="shared" si="91"/>
        <v>3</v>
      </c>
      <c r="P143" s="728" t="e">
        <f t="shared" si="72"/>
        <v>#DIV/0!</v>
      </c>
      <c r="Q143" s="2780"/>
      <c r="R143" s="2968">
        <f t="shared" si="92"/>
        <v>0</v>
      </c>
      <c r="S143" s="641" t="e">
        <f t="shared" si="73"/>
        <v>#DIV/0!</v>
      </c>
      <c r="T143" s="642"/>
      <c r="U143" s="567"/>
      <c r="V143" s="2621">
        <f>採点LR1!K101</f>
        <v>3</v>
      </c>
      <c r="W143" s="2982"/>
      <c r="Y143" s="660">
        <f t="shared" ref="Y143:Y144" si="96">IF($Y$3=4,N143,V143)</f>
        <v>3</v>
      </c>
      <c r="Z143" s="2611" t="e">
        <f>重み!D143</f>
        <v>#DIV/0!</v>
      </c>
      <c r="AA143" s="660">
        <f t="shared" ref="AA143:AA144" si="97">IF($Y$3=4,Q143,W143)</f>
        <v>0</v>
      </c>
      <c r="AB143" s="2611" t="e">
        <f>重み!E143</f>
        <v>#DIV/0!</v>
      </c>
      <c r="AC143" s="2610"/>
      <c r="AD143" s="567"/>
      <c r="AE143" s="596" t="e">
        <f>重み!M143</f>
        <v>#DIV/0!</v>
      </c>
      <c r="AF143" s="581"/>
      <c r="AG143" s="596"/>
    </row>
    <row r="144" spans="2:61" ht="14.25" customHeight="1" thickBot="1">
      <c r="B144" s="731"/>
      <c r="C144" s="797"/>
      <c r="D144" s="656">
        <v>4.2</v>
      </c>
      <c r="E144" s="648" t="s">
        <v>1019</v>
      </c>
      <c r="F144" s="685"/>
      <c r="G144" s="2589"/>
      <c r="H144" s="2627" t="s">
        <v>3243</v>
      </c>
      <c r="I144" s="3096"/>
      <c r="J144" s="3097"/>
      <c r="K144" s="3097"/>
      <c r="L144" s="3097"/>
      <c r="M144" s="3098"/>
      <c r="N144" s="2952">
        <v>0</v>
      </c>
      <c r="O144" s="663">
        <f t="shared" si="91"/>
        <v>3</v>
      </c>
      <c r="P144" s="728" t="e">
        <f t="shared" si="72"/>
        <v>#DIV/0!</v>
      </c>
      <c r="Q144" s="2780"/>
      <c r="R144" s="2968">
        <f t="shared" si="92"/>
        <v>0</v>
      </c>
      <c r="S144" s="641" t="e">
        <f t="shared" si="73"/>
        <v>#DIV/0!</v>
      </c>
      <c r="T144" s="642"/>
      <c r="U144" s="567"/>
      <c r="V144" s="2622">
        <f>採点LR1!K131</f>
        <v>3</v>
      </c>
      <c r="W144" s="2982"/>
      <c r="Y144" s="660">
        <f t="shared" si="96"/>
        <v>3</v>
      </c>
      <c r="Z144" s="2611" t="e">
        <f>重み!D144</f>
        <v>#DIV/0!</v>
      </c>
      <c r="AA144" s="660">
        <f t="shared" si="97"/>
        <v>0</v>
      </c>
      <c r="AB144" s="2611" t="e">
        <f>重み!E144</f>
        <v>#DIV/0!</v>
      </c>
      <c r="AC144" s="2610"/>
      <c r="AD144" s="567"/>
      <c r="AE144" s="596" t="e">
        <f>重み!M144</f>
        <v>#DIV/0!</v>
      </c>
      <c r="AF144" s="581"/>
      <c r="AG144" s="596"/>
    </row>
    <row r="145" spans="2:61" ht="14.25" customHeight="1" thickBot="1">
      <c r="B145" s="707" t="s">
        <v>1940</v>
      </c>
      <c r="C145" s="749" t="s">
        <v>1941</v>
      </c>
      <c r="D145" s="749"/>
      <c r="E145" s="749"/>
      <c r="F145" s="750"/>
      <c r="G145" s="2628"/>
      <c r="H145" s="2629"/>
      <c r="I145" s="711"/>
      <c r="J145" s="712"/>
      <c r="K145" s="712"/>
      <c r="L145" s="712"/>
      <c r="M145" s="713"/>
      <c r="N145" s="714"/>
      <c r="O145" s="714">
        <f t="shared" si="91"/>
        <v>0</v>
      </c>
      <c r="P145" s="715" t="e">
        <f t="shared" si="72"/>
        <v>#DIV/0!</v>
      </c>
      <c r="Q145" s="716"/>
      <c r="R145" s="2971">
        <f t="shared" si="92"/>
        <v>0</v>
      </c>
      <c r="S145" s="717">
        <f t="shared" si="73"/>
        <v>0</v>
      </c>
      <c r="T145" s="718" t="e">
        <f>ROUNDDOWN(AC145,1)</f>
        <v>#DIV/0!</v>
      </c>
      <c r="U145" s="567"/>
      <c r="V145" s="2984"/>
      <c r="W145" s="2982"/>
      <c r="Y145" s="690"/>
      <c r="Z145" s="629" t="e">
        <f>重み!D145</f>
        <v>#DIV/0!</v>
      </c>
      <c r="AA145" s="690"/>
      <c r="AB145" s="629"/>
      <c r="AC145" s="3017" t="e">
        <f>AC146*Z146+AC151*Z151+Z166*AC166</f>
        <v>#DIV/0!</v>
      </c>
      <c r="AD145" s="567"/>
      <c r="AE145" s="596" t="e">
        <f>重み!M145</f>
        <v>#DIV/0!</v>
      </c>
      <c r="AF145" s="581"/>
      <c r="AG145" s="596" t="e">
        <f>重み!N145</f>
        <v>#DIV/0!</v>
      </c>
      <c r="AI145" s="2375"/>
      <c r="AJ145" s="2361"/>
      <c r="AK145" s="2361"/>
      <c r="AL145" s="2361"/>
      <c r="AM145" s="2361"/>
      <c r="AN145" s="2361"/>
      <c r="AO145" s="2361"/>
      <c r="AP145" s="2361"/>
      <c r="AQ145" s="2361"/>
      <c r="AR145" s="2362"/>
      <c r="AS145" s="2363"/>
      <c r="AT145" s="2364" t="e">
        <f>P145</f>
        <v>#DIV/0!</v>
      </c>
      <c r="AU145" s="718" t="e">
        <f>ROUNDDOWN(AW145,1)</f>
        <v>#DIV/0!</v>
      </c>
      <c r="AW145" s="2354" t="e">
        <f>SUMPRODUCT(AT146:AT171,AW146:AW171)</f>
        <v>#DIV/0!</v>
      </c>
    </row>
    <row r="146" spans="2:61" ht="14.25" customHeight="1" thickBot="1">
      <c r="B146" s="793">
        <v>1</v>
      </c>
      <c r="C146" s="633" t="s">
        <v>1277</v>
      </c>
      <c r="D146" s="633"/>
      <c r="E146" s="633"/>
      <c r="F146" s="635"/>
      <c r="G146" s="2587"/>
      <c r="H146" s="2630"/>
      <c r="I146" s="636"/>
      <c r="J146" s="637"/>
      <c r="K146" s="637"/>
      <c r="L146" s="637"/>
      <c r="M146" s="638"/>
      <c r="N146" s="695" t="e">
        <f>ROUNDDOWN(Y146,1)</f>
        <v>#DIV/0!</v>
      </c>
      <c r="O146" s="695" t="e">
        <f t="shared" si="91"/>
        <v>#DIV/0!</v>
      </c>
      <c r="P146" s="640" t="e">
        <f>Z146</f>
        <v>#DIV/0!</v>
      </c>
      <c r="Q146" s="2779" t="e">
        <f>ROUNDDOWN(AA146,1)</f>
        <v>#DIV/0!</v>
      </c>
      <c r="R146" s="2970" t="e">
        <f t="shared" si="92"/>
        <v>#DIV/0!</v>
      </c>
      <c r="S146" s="641" t="e">
        <f t="shared" ref="S146" si="98">AB146</f>
        <v>#DIV/0!</v>
      </c>
      <c r="T146" s="642" t="e">
        <f>ROUNDDOWN(AC146,1)</f>
        <v>#DIV/0!</v>
      </c>
      <c r="U146" s="567"/>
      <c r="V146" s="2987"/>
      <c r="W146" s="2982"/>
      <c r="Y146" s="2978" t="e">
        <f>Y147*Z147+Y148*Z148</f>
        <v>#DIV/0!</v>
      </c>
      <c r="Z146" s="2611" t="e">
        <f>重み!D146</f>
        <v>#DIV/0!</v>
      </c>
      <c r="AA146" s="2978" t="e">
        <f>AA147*AB147+AA148*AB148</f>
        <v>#DIV/0!</v>
      </c>
      <c r="AB146" s="644" t="e">
        <f>SUM(AB147,AB148)</f>
        <v>#DIV/0!</v>
      </c>
      <c r="AC146" s="617" t="e">
        <f>IF(AA146=0,Y146,IF(Y146=0,AA146,Y146*AE$6+AA146*AG$6))</f>
        <v>#DIV/0!</v>
      </c>
      <c r="AD146" s="567"/>
      <c r="AE146" s="596" t="e">
        <f>重み!M146</f>
        <v>#DIV/0!</v>
      </c>
      <c r="AF146" s="581"/>
      <c r="AG146" s="644" t="e">
        <f>SUM(AG147,AG148)</f>
        <v>#DIV/0!</v>
      </c>
      <c r="AI146" s="2358">
        <v>3</v>
      </c>
      <c r="AJ146" s="2358"/>
      <c r="AK146" s="2358"/>
      <c r="AL146" s="2358"/>
      <c r="AM146" s="2358"/>
      <c r="AN146" s="2358">
        <v>4</v>
      </c>
      <c r="AO146" s="2358"/>
      <c r="AP146" s="2358"/>
      <c r="AQ146" s="2358"/>
      <c r="AR146" s="2358"/>
      <c r="AS146" s="2355" t="e">
        <f t="shared" ref="AS146:AS166" si="99">ROUNDDOWN(AW146,1)</f>
        <v>#DIV/0!</v>
      </c>
      <c r="AT146" s="810" t="e">
        <f>P146</f>
        <v>#DIV/0!</v>
      </c>
      <c r="AU146" s="677"/>
      <c r="AV146" s="2329"/>
      <c r="AW146" s="2354" t="e">
        <f>SUMPRODUCT($AZ$7:$BI$7,AI146:AR146)/AY146</f>
        <v>#DIV/0!</v>
      </c>
      <c r="AY146" s="2353" t="e">
        <f>SUMPRODUCT($AZ$7:$BI$7,AZ146:BI146)</f>
        <v>#DIV/0!</v>
      </c>
      <c r="AZ146" s="2339">
        <f t="shared" ref="AZ146:BI146" si="100">IF(AI146&gt;0,1,0)</f>
        <v>1</v>
      </c>
      <c r="BA146" s="2339">
        <f t="shared" si="100"/>
        <v>0</v>
      </c>
      <c r="BB146" s="2339">
        <f t="shared" si="100"/>
        <v>0</v>
      </c>
      <c r="BC146" s="2339">
        <f t="shared" si="100"/>
        <v>0</v>
      </c>
      <c r="BD146" s="2339">
        <f t="shared" si="100"/>
        <v>0</v>
      </c>
      <c r="BE146" s="2339">
        <f t="shared" si="100"/>
        <v>1</v>
      </c>
      <c r="BF146" s="2339">
        <f t="shared" si="100"/>
        <v>0</v>
      </c>
      <c r="BG146" s="2339">
        <f t="shared" si="100"/>
        <v>0</v>
      </c>
      <c r="BH146" s="2339">
        <f t="shared" si="100"/>
        <v>0</v>
      </c>
      <c r="BI146" s="2339">
        <f t="shared" si="100"/>
        <v>0</v>
      </c>
    </row>
    <row r="147" spans="2:61" ht="14.25" customHeight="1" thickBot="1">
      <c r="B147" s="694"/>
      <c r="C147" s="669">
        <v>1.1000000000000001</v>
      </c>
      <c r="D147" s="648" t="s">
        <v>1278</v>
      </c>
      <c r="E147" s="648"/>
      <c r="F147" s="685"/>
      <c r="G147" s="2586"/>
      <c r="H147" s="2631"/>
      <c r="I147" s="3107"/>
      <c r="J147" s="3108"/>
      <c r="K147" s="3108"/>
      <c r="L147" s="3108"/>
      <c r="M147" s="3109"/>
      <c r="N147" s="2947">
        <v>3</v>
      </c>
      <c r="O147" s="785">
        <f t="shared" si="91"/>
        <v>3</v>
      </c>
      <c r="P147" s="789" t="e">
        <f t="shared" si="72"/>
        <v>#DIV/0!</v>
      </c>
      <c r="Q147" s="2782"/>
      <c r="R147" s="2972">
        <f t="shared" si="92"/>
        <v>0</v>
      </c>
      <c r="S147" s="683" t="e">
        <f t="shared" si="73"/>
        <v>#DIV/0!</v>
      </c>
      <c r="T147" s="654"/>
      <c r="U147" s="567"/>
      <c r="V147" s="2621">
        <f>採点LR2!F8</f>
        <v>3</v>
      </c>
      <c r="W147" s="2990"/>
      <c r="Y147" s="2975">
        <f>IF($Y$3=4,N147,V147)</f>
        <v>3</v>
      </c>
      <c r="Z147" s="2611" t="e">
        <f>重み!D147</f>
        <v>#DIV/0!</v>
      </c>
      <c r="AA147" s="2975">
        <f>IF($Y$3=4,Q147,W147)</f>
        <v>0</v>
      </c>
      <c r="AB147" s="2611" t="e">
        <f>重み!E147</f>
        <v>#DIV/0!</v>
      </c>
      <c r="AC147" s="2610"/>
      <c r="AD147" s="567"/>
      <c r="AE147" s="596" t="e">
        <f>重み!M147</f>
        <v>#DIV/0!</v>
      </c>
      <c r="AF147" s="581"/>
      <c r="AG147" s="596" t="e">
        <f>重み!N147</f>
        <v>#DIV/0!</v>
      </c>
      <c r="AS147" s="2377">
        <f t="shared" si="99"/>
        <v>0</v>
      </c>
    </row>
    <row r="148" spans="2:61" ht="14.25" customHeight="1" thickBot="1">
      <c r="B148" s="694"/>
      <c r="C148" s="794">
        <v>1.2</v>
      </c>
      <c r="D148" s="678" t="s">
        <v>1279</v>
      </c>
      <c r="E148" s="647"/>
      <c r="F148" s="680"/>
      <c r="G148" s="2597"/>
      <c r="H148" s="2632"/>
      <c r="I148" s="636"/>
      <c r="J148" s="637"/>
      <c r="K148" s="637"/>
      <c r="L148" s="637"/>
      <c r="M148" s="638"/>
      <c r="N148" s="695" t="e">
        <f>ROUNDDOWN(Y148,1)</f>
        <v>#DIV/0!</v>
      </c>
      <c r="O148" s="695" t="e">
        <f t="shared" si="91"/>
        <v>#DIV/0!</v>
      </c>
      <c r="P148" s="640" t="e">
        <f>Z148</f>
        <v>#DIV/0!</v>
      </c>
      <c r="Q148" s="2779" t="e">
        <f>ROUNDDOWN(AA148,1)</f>
        <v>#DIV/0!</v>
      </c>
      <c r="R148" s="2970" t="e">
        <f t="shared" si="92"/>
        <v>#DIV/0!</v>
      </c>
      <c r="S148" s="641" t="e">
        <f t="shared" ref="S148" si="101">AB148</f>
        <v>#DIV/0!</v>
      </c>
      <c r="T148" s="642"/>
      <c r="U148" s="567"/>
      <c r="V148" s="795"/>
      <c r="W148" s="2982"/>
      <c r="Y148" s="643" t="e">
        <f>SUMPRODUCT(Y149:Y150,Z149:Z150)</f>
        <v>#DIV/0!</v>
      </c>
      <c r="Z148" s="2611" t="e">
        <f>重み!D148</f>
        <v>#DIV/0!</v>
      </c>
      <c r="AA148" s="643" t="e">
        <f>SUMPRODUCT(AA149:AA150,AB149:AB150)</f>
        <v>#DIV/0!</v>
      </c>
      <c r="AB148" s="2611" t="e">
        <f>重み!E148</f>
        <v>#DIV/0!</v>
      </c>
      <c r="AC148" s="617"/>
      <c r="AD148" s="567"/>
      <c r="AE148" s="596" t="e">
        <f>重み!M148</f>
        <v>#DIV/0!</v>
      </c>
      <c r="AF148" s="581"/>
      <c r="AG148" s="596" t="e">
        <f>重み!N148</f>
        <v>#DIV/0!</v>
      </c>
      <c r="AS148" s="2377">
        <f t="shared" si="99"/>
        <v>0</v>
      </c>
    </row>
    <row r="149" spans="2:61" ht="14.25" customHeight="1">
      <c r="B149" s="694"/>
      <c r="C149" s="796"/>
      <c r="D149" s="656">
        <v>1</v>
      </c>
      <c r="E149" s="648" t="s">
        <v>1280</v>
      </c>
      <c r="F149" s="685"/>
      <c r="G149" s="2586"/>
      <c r="H149" s="2631"/>
      <c r="I149" s="3096"/>
      <c r="J149" s="3097"/>
      <c r="K149" s="3097"/>
      <c r="L149" s="3097"/>
      <c r="M149" s="3098"/>
      <c r="N149" s="2948">
        <v>3</v>
      </c>
      <c r="O149" s="658">
        <f t="shared" si="91"/>
        <v>3</v>
      </c>
      <c r="P149" s="728" t="e">
        <f t="shared" ref="P149:P187" si="102">Z149</f>
        <v>#DIV/0!</v>
      </c>
      <c r="Q149" s="2780"/>
      <c r="R149" s="2968">
        <f t="shared" si="92"/>
        <v>0</v>
      </c>
      <c r="S149" s="641" t="e">
        <f t="shared" ref="S149:S189" si="103">AB149</f>
        <v>#DIV/0!</v>
      </c>
      <c r="T149" s="642"/>
      <c r="U149" s="567"/>
      <c r="V149" s="725">
        <f>採点LR2!F18</f>
        <v>3</v>
      </c>
      <c r="W149" s="2990"/>
      <c r="Y149" s="660">
        <f t="shared" ref="Y149:Y150" si="104">IF($Y$3=4,N149,V149)</f>
        <v>3</v>
      </c>
      <c r="Z149" s="2611" t="e">
        <f>重み!D149</f>
        <v>#DIV/0!</v>
      </c>
      <c r="AA149" s="660">
        <f t="shared" ref="AA149:AA150" si="105">IF($Y$3=4,Q149,W149)</f>
        <v>0</v>
      </c>
      <c r="AB149" s="2611" t="e">
        <f>重み!E149</f>
        <v>#DIV/0!</v>
      </c>
      <c r="AC149" s="2610"/>
      <c r="AD149" s="567"/>
      <c r="AE149" s="596" t="e">
        <f>重み!M149</f>
        <v>#DIV/0!</v>
      </c>
      <c r="AF149" s="581"/>
      <c r="AG149" s="596" t="e">
        <f>重み!N149</f>
        <v>#DIV/0!</v>
      </c>
      <c r="AS149" s="2377">
        <f t="shared" si="99"/>
        <v>0</v>
      </c>
    </row>
    <row r="150" spans="2:61" ht="14.25" customHeight="1" thickBot="1">
      <c r="B150" s="731"/>
      <c r="C150" s="797"/>
      <c r="D150" s="656">
        <v>2</v>
      </c>
      <c r="E150" s="3112" t="s">
        <v>1281</v>
      </c>
      <c r="F150" s="3113"/>
      <c r="G150" s="2586"/>
      <c r="H150" s="2631"/>
      <c r="I150" s="3096"/>
      <c r="J150" s="3097"/>
      <c r="K150" s="3097"/>
      <c r="L150" s="3097"/>
      <c r="M150" s="3098"/>
      <c r="N150" s="2952">
        <v>3</v>
      </c>
      <c r="O150" s="663">
        <f t="shared" si="91"/>
        <v>3</v>
      </c>
      <c r="P150" s="728" t="e">
        <f t="shared" si="102"/>
        <v>#DIV/0!</v>
      </c>
      <c r="Q150" s="2780"/>
      <c r="R150" s="2968">
        <f t="shared" si="92"/>
        <v>0</v>
      </c>
      <c r="S150" s="641" t="e">
        <f t="shared" si="103"/>
        <v>#DIV/0!</v>
      </c>
      <c r="T150" s="642"/>
      <c r="U150" s="567"/>
      <c r="V150" s="725">
        <f>採点LR2!K18</f>
        <v>3</v>
      </c>
      <c r="W150" s="2990"/>
      <c r="Y150" s="660">
        <f t="shared" si="104"/>
        <v>3</v>
      </c>
      <c r="Z150" s="2611" t="e">
        <f>重み!D150</f>
        <v>#DIV/0!</v>
      </c>
      <c r="AA150" s="660">
        <f t="shared" si="105"/>
        <v>0</v>
      </c>
      <c r="AB150" s="2611" t="e">
        <f>重み!E150</f>
        <v>#DIV/0!</v>
      </c>
      <c r="AC150" s="2610"/>
      <c r="AD150" s="567"/>
      <c r="AE150" s="596" t="e">
        <f>重み!M150</f>
        <v>#DIV/0!</v>
      </c>
      <c r="AF150" s="581"/>
      <c r="AG150" s="596" t="e">
        <f>重み!N150</f>
        <v>#DIV/0!</v>
      </c>
      <c r="AS150" s="2377">
        <f t="shared" si="99"/>
        <v>0</v>
      </c>
    </row>
    <row r="151" spans="2:61" ht="14.25" customHeight="1" thickBot="1">
      <c r="B151" s="786">
        <v>2</v>
      </c>
      <c r="C151" s="2376" t="s">
        <v>1282</v>
      </c>
      <c r="D151" s="2376"/>
      <c r="E151" s="2376"/>
      <c r="F151" s="680"/>
      <c r="G151" s="2564"/>
      <c r="H151" s="2633"/>
      <c r="I151" s="673"/>
      <c r="J151" s="2895"/>
      <c r="K151" s="2895"/>
      <c r="L151" s="2895"/>
      <c r="M151" s="2222"/>
      <c r="N151" s="695" t="e">
        <f>ROUNDDOWN(Y151,1)</f>
        <v>#DIV/0!</v>
      </c>
      <c r="O151" s="695" t="e">
        <f t="shared" si="91"/>
        <v>#DIV/0!</v>
      </c>
      <c r="P151" s="675" t="e">
        <f>Z151</f>
        <v>#DIV/0!</v>
      </c>
      <c r="Q151" s="2785" t="e">
        <f>ROUNDDOWN(AA151,1)</f>
        <v>#DIV/0!</v>
      </c>
      <c r="R151" s="2969" t="e">
        <f t="shared" si="92"/>
        <v>#DIV/0!</v>
      </c>
      <c r="S151" s="676" t="e">
        <f t="shared" si="103"/>
        <v>#DIV/0!</v>
      </c>
      <c r="T151" s="677" t="e">
        <f>ROUNDDOWN(AC151,1)</f>
        <v>#DIV/0!</v>
      </c>
      <c r="U151" s="567"/>
      <c r="V151" s="795"/>
      <c r="W151" s="2982"/>
      <c r="Y151" s="2978" t="e">
        <f>SUMPRODUCT(Y152:Y158,Z152:Z158)+Y165*Z165</f>
        <v>#DIV/0!</v>
      </c>
      <c r="Z151" s="2611" t="e">
        <f>重み!D151</f>
        <v>#DIV/0!</v>
      </c>
      <c r="AA151" s="2978" t="e">
        <f>SUMPRODUCT(AA152:AA158,AB152:AB158)+AA165*AB165</f>
        <v>#DIV/0!</v>
      </c>
      <c r="AB151" s="644" t="e">
        <f>SUM(AB152:AB158)+AB165</f>
        <v>#DIV/0!</v>
      </c>
      <c r="AC151" s="617" t="e">
        <f>IF(AA151=0,Y151,IF(Y151=0,AA151,Y151*AE$6+AA151*AG$6))</f>
        <v>#DIV/0!</v>
      </c>
      <c r="AD151" s="567"/>
      <c r="AE151" s="596" t="e">
        <f>重み!M151</f>
        <v>#DIV/0!</v>
      </c>
      <c r="AF151" s="581"/>
      <c r="AG151" s="644" t="e">
        <f>SUM(AG152:AG158)+AG165</f>
        <v>#DIV/0!</v>
      </c>
      <c r="AI151" s="2358">
        <v>3</v>
      </c>
      <c r="AJ151" s="2358"/>
      <c r="AK151" s="2358"/>
      <c r="AL151" s="2358"/>
      <c r="AM151" s="2358"/>
      <c r="AN151" s="2358">
        <v>4</v>
      </c>
      <c r="AO151" s="2358"/>
      <c r="AP151" s="2358"/>
      <c r="AQ151" s="2358"/>
      <c r="AR151" s="2358"/>
      <c r="AS151" s="2355" t="e">
        <f t="shared" si="99"/>
        <v>#DIV/0!</v>
      </c>
      <c r="AT151" s="810" t="e">
        <f>P151</f>
        <v>#DIV/0!</v>
      </c>
      <c r="AU151" s="677"/>
      <c r="AV151" s="2329"/>
      <c r="AW151" s="2354" t="e">
        <f>SUMPRODUCT($AZ$7:$BI$7,AI151:AR151)/AY151</f>
        <v>#DIV/0!</v>
      </c>
      <c r="AY151" s="2353" t="e">
        <f>SUMPRODUCT($AZ$7:$BI$7,AZ151:BI151)</f>
        <v>#DIV/0!</v>
      </c>
      <c r="AZ151" s="2339">
        <f t="shared" ref="AZ151:BI151" si="106">IF(AI151&gt;0,1,0)</f>
        <v>1</v>
      </c>
      <c r="BA151" s="2339">
        <f t="shared" si="106"/>
        <v>0</v>
      </c>
      <c r="BB151" s="2339">
        <f t="shared" si="106"/>
        <v>0</v>
      </c>
      <c r="BC151" s="2339">
        <f t="shared" si="106"/>
        <v>0</v>
      </c>
      <c r="BD151" s="2339">
        <f t="shared" si="106"/>
        <v>0</v>
      </c>
      <c r="BE151" s="2339">
        <f t="shared" si="106"/>
        <v>1</v>
      </c>
      <c r="BF151" s="2339">
        <f t="shared" si="106"/>
        <v>0</v>
      </c>
      <c r="BG151" s="2339">
        <f t="shared" si="106"/>
        <v>0</v>
      </c>
      <c r="BH151" s="2339">
        <f t="shared" si="106"/>
        <v>0</v>
      </c>
      <c r="BI151" s="2339">
        <f t="shared" si="106"/>
        <v>0</v>
      </c>
    </row>
    <row r="152" spans="2:61" ht="14.25" customHeight="1">
      <c r="B152" s="788"/>
      <c r="C152" s="669">
        <v>2.1</v>
      </c>
      <c r="D152" s="744" t="s">
        <v>1283</v>
      </c>
      <c r="E152" s="648"/>
      <c r="F152" s="685"/>
      <c r="G152" s="2586"/>
      <c r="H152" s="2634"/>
      <c r="I152" s="3107"/>
      <c r="J152" s="3108"/>
      <c r="K152" s="3108"/>
      <c r="L152" s="3108"/>
      <c r="M152" s="3109"/>
      <c r="N152" s="2948">
        <v>0</v>
      </c>
      <c r="O152" s="2612">
        <f t="shared" si="91"/>
        <v>3</v>
      </c>
      <c r="P152" s="728" t="e">
        <f t="shared" si="102"/>
        <v>#DIV/0!</v>
      </c>
      <c r="Q152" s="2780"/>
      <c r="R152" s="2968">
        <f t="shared" si="92"/>
        <v>0</v>
      </c>
      <c r="S152" s="641" t="e">
        <f t="shared" si="103"/>
        <v>#DIV/0!</v>
      </c>
      <c r="T152" s="642"/>
      <c r="U152" s="567"/>
      <c r="V152" s="2732">
        <f>採点LR2!F29</f>
        <v>3</v>
      </c>
      <c r="W152" s="2990"/>
      <c r="Y152" s="2975">
        <f t="shared" ref="Y152:Y157" si="107">IF($Y$3=4,N152,V152)</f>
        <v>3</v>
      </c>
      <c r="Z152" s="2611" t="e">
        <f>重み!D152</f>
        <v>#DIV/0!</v>
      </c>
      <c r="AA152" s="2975">
        <f t="shared" ref="AA152:AA157" si="108">IF($Y$3=4,Q152,W152)</f>
        <v>0</v>
      </c>
      <c r="AB152" s="2611" t="e">
        <f>重み!E152</f>
        <v>#DIV/0!</v>
      </c>
      <c r="AC152" s="2610"/>
      <c r="AD152" s="567"/>
      <c r="AE152" s="596" t="e">
        <f>重み!M152</f>
        <v>#DIV/0!</v>
      </c>
      <c r="AF152" s="581"/>
      <c r="AG152" s="596" t="e">
        <f>重み!N152</f>
        <v>#DIV/0!</v>
      </c>
      <c r="AS152" s="2377">
        <f t="shared" si="99"/>
        <v>0</v>
      </c>
    </row>
    <row r="153" spans="2:61" ht="14.25" customHeight="1">
      <c r="B153" s="698"/>
      <c r="C153" s="669">
        <v>2.2000000000000002</v>
      </c>
      <c r="D153" s="744" t="s">
        <v>1284</v>
      </c>
      <c r="E153" s="648"/>
      <c r="F153" s="685"/>
      <c r="G153" s="2586"/>
      <c r="H153" s="2634"/>
      <c r="I153" s="3096"/>
      <c r="J153" s="3097"/>
      <c r="K153" s="3097"/>
      <c r="L153" s="3097"/>
      <c r="M153" s="3098"/>
      <c r="N153" s="2949">
        <v>0</v>
      </c>
      <c r="O153" s="2618">
        <f t="shared" si="91"/>
        <v>3</v>
      </c>
      <c r="P153" s="728" t="e">
        <f t="shared" si="102"/>
        <v>#DIV/0!</v>
      </c>
      <c r="Q153" s="2780"/>
      <c r="R153" s="2968">
        <f t="shared" si="92"/>
        <v>0</v>
      </c>
      <c r="S153" s="641" t="e">
        <f t="shared" si="103"/>
        <v>#DIV/0!</v>
      </c>
      <c r="T153" s="642"/>
      <c r="U153" s="567"/>
      <c r="V153" s="799">
        <f>採点LR2!F51</f>
        <v>3</v>
      </c>
      <c r="W153" s="2982"/>
      <c r="Y153" s="2975">
        <f t="shared" si="107"/>
        <v>3</v>
      </c>
      <c r="Z153" s="2611" t="e">
        <f>重み!D153</f>
        <v>#DIV/0!</v>
      </c>
      <c r="AA153" s="2975">
        <f t="shared" si="108"/>
        <v>0</v>
      </c>
      <c r="AB153" s="2611" t="e">
        <f>重み!E153</f>
        <v>#DIV/0!</v>
      </c>
      <c r="AC153" s="2610"/>
      <c r="AD153" s="567"/>
      <c r="AE153" s="596" t="e">
        <f>重み!M153</f>
        <v>#DIV/0!</v>
      </c>
      <c r="AF153" s="581"/>
      <c r="AG153" s="596" t="e">
        <f>重み!N153</f>
        <v>#DIV/0!</v>
      </c>
      <c r="AS153" s="2377">
        <f t="shared" si="99"/>
        <v>0</v>
      </c>
    </row>
    <row r="154" spans="2:61" ht="14.25" customHeight="1">
      <c r="B154" s="694"/>
      <c r="C154" s="669">
        <v>2.2999999999999998</v>
      </c>
      <c r="D154" s="648" t="s">
        <v>1285</v>
      </c>
      <c r="E154" s="648"/>
      <c r="F154" s="685"/>
      <c r="G154" s="2586"/>
      <c r="H154" s="2634"/>
      <c r="I154" s="3096">
        <f>採点LR2!K67</f>
        <v>0</v>
      </c>
      <c r="J154" s="3097"/>
      <c r="K154" s="3097"/>
      <c r="L154" s="3097"/>
      <c r="M154" s="3098"/>
      <c r="N154" s="2954">
        <v>0</v>
      </c>
      <c r="O154" s="2618">
        <f t="shared" si="91"/>
        <v>3</v>
      </c>
      <c r="P154" s="728" t="e">
        <f t="shared" si="102"/>
        <v>#DIV/0!</v>
      </c>
      <c r="Q154" s="2780"/>
      <c r="R154" s="2968">
        <f t="shared" si="92"/>
        <v>0</v>
      </c>
      <c r="S154" s="641" t="e">
        <f t="shared" si="103"/>
        <v>#DIV/0!</v>
      </c>
      <c r="T154" s="642"/>
      <c r="U154" s="567"/>
      <c r="V154" s="798">
        <f>採点LR2!F60</f>
        <v>3</v>
      </c>
      <c r="W154" s="2990"/>
      <c r="Y154" s="2975">
        <f t="shared" si="107"/>
        <v>3</v>
      </c>
      <c r="Z154" s="2611" t="e">
        <f>重み!D154</f>
        <v>#DIV/0!</v>
      </c>
      <c r="AA154" s="2975">
        <f t="shared" si="108"/>
        <v>0</v>
      </c>
      <c r="AB154" s="2611" t="e">
        <f>重み!E154</f>
        <v>#DIV/0!</v>
      </c>
      <c r="AC154" s="2610"/>
      <c r="AD154" s="567"/>
      <c r="AE154" s="596" t="e">
        <f>重み!M154</f>
        <v>#DIV/0!</v>
      </c>
      <c r="AF154" s="581"/>
      <c r="AG154" s="596" t="e">
        <f>重み!N154</f>
        <v>#DIV/0!</v>
      </c>
      <c r="AS154" s="2377">
        <f t="shared" si="99"/>
        <v>0</v>
      </c>
    </row>
    <row r="155" spans="2:61" ht="14.25" customHeight="1">
      <c r="B155" s="694"/>
      <c r="C155" s="669">
        <v>2.4</v>
      </c>
      <c r="D155" s="3099" t="s">
        <v>66</v>
      </c>
      <c r="E155" s="3100"/>
      <c r="F155" s="3113"/>
      <c r="G155" s="2597"/>
      <c r="H155" s="2635"/>
      <c r="I155" s="3096">
        <f>採点LR2!K92</f>
        <v>0</v>
      </c>
      <c r="J155" s="3097"/>
      <c r="K155" s="3097"/>
      <c r="L155" s="3097"/>
      <c r="M155" s="3098"/>
      <c r="N155" s="2954">
        <v>3</v>
      </c>
      <c r="O155" s="2618">
        <f t="shared" si="91"/>
        <v>3</v>
      </c>
      <c r="P155" s="728" t="e">
        <f t="shared" si="102"/>
        <v>#DIV/0!</v>
      </c>
      <c r="Q155" s="2780"/>
      <c r="R155" s="2968">
        <f t="shared" si="92"/>
        <v>0</v>
      </c>
      <c r="S155" s="641" t="e">
        <f t="shared" si="103"/>
        <v>#DIV/0!</v>
      </c>
      <c r="T155" s="642"/>
      <c r="U155" s="567"/>
      <c r="V155" s="798">
        <f>採点LR2!F85</f>
        <v>3</v>
      </c>
      <c r="W155" s="2990"/>
      <c r="Y155" s="2975">
        <f t="shared" si="107"/>
        <v>3</v>
      </c>
      <c r="Z155" s="2611" t="e">
        <f>重み!D155</f>
        <v>#DIV/0!</v>
      </c>
      <c r="AA155" s="2975">
        <f t="shared" si="108"/>
        <v>0</v>
      </c>
      <c r="AB155" s="2611" t="e">
        <f>重み!E155</f>
        <v>#DIV/0!</v>
      </c>
      <c r="AC155" s="2610"/>
      <c r="AD155" s="567"/>
      <c r="AE155" s="596" t="e">
        <f>重み!M155</f>
        <v>#DIV/0!</v>
      </c>
      <c r="AF155" s="581"/>
      <c r="AG155" s="596" t="e">
        <f>重み!N155</f>
        <v>#DIV/0!</v>
      </c>
      <c r="AS155" s="2377">
        <f t="shared" si="99"/>
        <v>0</v>
      </c>
    </row>
    <row r="156" spans="2:61" ht="14.25" customHeight="1">
      <c r="B156" s="694"/>
      <c r="C156" s="669">
        <v>2.5</v>
      </c>
      <c r="D156" s="744" t="s">
        <v>1286</v>
      </c>
      <c r="E156" s="648"/>
      <c r="F156" s="685"/>
      <c r="G156" s="2586"/>
      <c r="H156" s="2634"/>
      <c r="I156" s="3096"/>
      <c r="J156" s="3097"/>
      <c r="K156" s="3097"/>
      <c r="L156" s="3097"/>
      <c r="M156" s="3098"/>
      <c r="N156" s="2954">
        <v>3</v>
      </c>
      <c r="O156" s="2618">
        <f t="shared" si="91"/>
        <v>3</v>
      </c>
      <c r="P156" s="728" t="e">
        <f t="shared" si="102"/>
        <v>#DIV/0!</v>
      </c>
      <c r="Q156" s="2780"/>
      <c r="R156" s="2968">
        <f t="shared" si="92"/>
        <v>0</v>
      </c>
      <c r="S156" s="641" t="e">
        <f t="shared" si="103"/>
        <v>#DIV/0!</v>
      </c>
      <c r="T156" s="642"/>
      <c r="U156" s="567"/>
      <c r="V156" s="798">
        <f>採点LR2!F143</f>
        <v>3</v>
      </c>
      <c r="W156" s="2990"/>
      <c r="Y156" s="2975">
        <f t="shared" si="107"/>
        <v>3</v>
      </c>
      <c r="Z156" s="2611" t="e">
        <f>重み!D156</f>
        <v>#DIV/0!</v>
      </c>
      <c r="AA156" s="2975">
        <f t="shared" si="108"/>
        <v>0</v>
      </c>
      <c r="AB156" s="2611" t="e">
        <f>重み!E156</f>
        <v>#DIV/0!</v>
      </c>
      <c r="AC156" s="2610"/>
      <c r="AD156" s="567"/>
      <c r="AE156" s="596" t="e">
        <f>重み!M156</f>
        <v>#DIV/0!</v>
      </c>
      <c r="AF156" s="581"/>
      <c r="AG156" s="596" t="e">
        <f>重み!N156</f>
        <v>#DIV/0!</v>
      </c>
      <c r="AS156" s="2377">
        <f t="shared" si="99"/>
        <v>0</v>
      </c>
    </row>
    <row r="157" spans="2:61" ht="14.25" customHeight="1" thickBot="1">
      <c r="B157" s="694"/>
      <c r="C157" s="646">
        <v>2.6</v>
      </c>
      <c r="D157" s="744" t="s">
        <v>1287</v>
      </c>
      <c r="E157" s="648"/>
      <c r="F157" s="685"/>
      <c r="G157" s="2586"/>
      <c r="H157" s="2634"/>
      <c r="I157" s="3096"/>
      <c r="J157" s="3097"/>
      <c r="K157" s="3097"/>
      <c r="L157" s="3097"/>
      <c r="M157" s="3098"/>
      <c r="N157" s="2955">
        <v>3</v>
      </c>
      <c r="O157" s="2615" t="e">
        <f t="shared" si="91"/>
        <v>#DIV/0!</v>
      </c>
      <c r="P157" s="728" t="e">
        <f t="shared" ref="P157:P165" si="109">Z157</f>
        <v>#DIV/0!</v>
      </c>
      <c r="Q157" s="2780"/>
      <c r="R157" s="2968">
        <f t="shared" si="92"/>
        <v>0</v>
      </c>
      <c r="S157" s="641" t="e">
        <f t="shared" ref="S157:S166" si="110">AB157</f>
        <v>#DIV/0!</v>
      </c>
      <c r="T157" s="642"/>
      <c r="U157" s="567"/>
      <c r="V157" s="2733" t="e">
        <f>採点LR2!F152</f>
        <v>#DIV/0!</v>
      </c>
      <c r="W157" s="2982"/>
      <c r="Y157" s="2975" t="e">
        <f t="shared" si="107"/>
        <v>#DIV/0!</v>
      </c>
      <c r="Z157" s="2611" t="e">
        <f>重み!D157</f>
        <v>#DIV/0!</v>
      </c>
      <c r="AA157" s="2975">
        <f t="shared" si="108"/>
        <v>0</v>
      </c>
      <c r="AB157" s="2611" t="e">
        <f>重み!E157</f>
        <v>#DIV/0!</v>
      </c>
      <c r="AC157" s="2610"/>
      <c r="AD157" s="567"/>
      <c r="AE157" s="596" t="e">
        <f>重み!M157</f>
        <v>#DIV/0!</v>
      </c>
      <c r="AF157" s="581"/>
      <c r="AG157" s="596" t="e">
        <f>重み!N157</f>
        <v>#DIV/0!</v>
      </c>
      <c r="AS157" s="2377">
        <f t="shared" si="99"/>
        <v>0</v>
      </c>
    </row>
    <row r="158" spans="2:61" s="2687" customFormat="1" ht="14.25" hidden="1" customHeight="1" thickBot="1">
      <c r="B158" s="694"/>
      <c r="C158" s="2759">
        <v>2.6</v>
      </c>
      <c r="D158" s="2758" t="s">
        <v>1287</v>
      </c>
      <c r="E158" s="2755"/>
      <c r="F158" s="2756"/>
      <c r="G158" s="2586"/>
      <c r="H158" s="2634"/>
      <c r="I158" s="636"/>
      <c r="J158" s="637"/>
      <c r="K158" s="637"/>
      <c r="L158" s="637"/>
      <c r="M158" s="638"/>
      <c r="N158" s="3015" t="e">
        <f>ROUNDDOWN(Y158,1)</f>
        <v>#DIV/0!</v>
      </c>
      <c r="O158" s="2230" t="e">
        <f t="shared" si="91"/>
        <v>#DIV/0!</v>
      </c>
      <c r="P158" s="640" t="e">
        <f>Z158</f>
        <v>#DIV/0!</v>
      </c>
      <c r="Q158" s="2779" t="e">
        <f>ROUNDDOWN(AA158,1)</f>
        <v>#DIV/0!</v>
      </c>
      <c r="R158" s="2970" t="e">
        <f t="shared" si="92"/>
        <v>#DIV/0!</v>
      </c>
      <c r="S158" s="762" t="e">
        <f t="shared" si="110"/>
        <v>#DIV/0!</v>
      </c>
      <c r="T158" s="642"/>
      <c r="U158" s="2607"/>
      <c r="V158" s="803"/>
      <c r="W158" s="2982"/>
      <c r="Y158" s="2980" t="e">
        <f>SUMPRODUCT(Y159:Y164,Z159:Z164)</f>
        <v>#DIV/0!</v>
      </c>
      <c r="Z158" s="2611" t="e">
        <f>重み!D158</f>
        <v>#DIV/0!</v>
      </c>
      <c r="AA158" s="643" t="e">
        <f>SUMPRODUCT(AA159:AA164,AB159:AB164)</f>
        <v>#DIV/0!</v>
      </c>
      <c r="AB158" s="2611" t="e">
        <f>重み!E158</f>
        <v>#DIV/0!</v>
      </c>
      <c r="AC158" s="2610"/>
      <c r="AD158" s="2607"/>
      <c r="AE158" s="2609" t="e">
        <f>重み!M158</f>
        <v>#DIV/0!</v>
      </c>
      <c r="AF158" s="2608"/>
      <c r="AG158" s="2609" t="e">
        <f>重み!N159</f>
        <v>#DIV/0!</v>
      </c>
      <c r="AS158" s="2377">
        <f t="shared" ref="AS158" si="111">ROUNDDOWN(AW158,1)</f>
        <v>0</v>
      </c>
    </row>
    <row r="159" spans="2:61" s="2687" customFormat="1" ht="14.25" hidden="1" customHeight="1">
      <c r="B159" s="694"/>
      <c r="C159" s="2753"/>
      <c r="D159" s="2754">
        <v>1</v>
      </c>
      <c r="E159" s="2755" t="s">
        <v>3294</v>
      </c>
      <c r="F159" s="2756"/>
      <c r="G159" s="2597"/>
      <c r="H159" s="2635"/>
      <c r="I159" s="3096"/>
      <c r="J159" s="3097"/>
      <c r="K159" s="3097"/>
      <c r="L159" s="3097"/>
      <c r="M159" s="3098"/>
      <c r="N159" s="2953">
        <v>0</v>
      </c>
      <c r="O159" s="2612">
        <f t="shared" si="91"/>
        <v>5</v>
      </c>
      <c r="P159" s="728" t="e">
        <f t="shared" si="109"/>
        <v>#DIV/0!</v>
      </c>
      <c r="Q159" s="2780"/>
      <c r="R159" s="2968">
        <f t="shared" si="92"/>
        <v>0</v>
      </c>
      <c r="S159" s="641" t="e">
        <f t="shared" si="110"/>
        <v>#DIV/0!</v>
      </c>
      <c r="T159" s="642"/>
      <c r="U159" s="2607"/>
      <c r="V159" s="798">
        <f>採点LR2!F168</f>
        <v>5</v>
      </c>
      <c r="W159" s="2990"/>
      <c r="Y159" s="660">
        <f t="shared" ref="Y159:Y164" si="112">IF($Y$3=4,N159,V159)</f>
        <v>5</v>
      </c>
      <c r="Z159" s="2611" t="e">
        <f>重み!D159</f>
        <v>#DIV/0!</v>
      </c>
      <c r="AA159" s="660">
        <f t="shared" ref="AA159:AA164" si="113">IF($Y$3=4,Q159,W159)</f>
        <v>0</v>
      </c>
      <c r="AB159" s="2611" t="e">
        <f>重み!E159</f>
        <v>#DIV/0!</v>
      </c>
      <c r="AC159" s="2610"/>
      <c r="AD159" s="2607"/>
      <c r="AE159" s="2609" t="e">
        <f>重み!M159</f>
        <v>#DIV/0!</v>
      </c>
      <c r="AF159" s="2608"/>
      <c r="AG159" s="2609" t="e">
        <f>重み!N159</f>
        <v>#DIV/0!</v>
      </c>
    </row>
    <row r="160" spans="2:61" s="2687" customFormat="1" ht="14.25" hidden="1" customHeight="1">
      <c r="B160" s="694"/>
      <c r="C160" s="2753"/>
      <c r="D160" s="2754">
        <v>2</v>
      </c>
      <c r="E160" s="2755" t="s">
        <v>3296</v>
      </c>
      <c r="F160" s="2756"/>
      <c r="G160" s="2597"/>
      <c r="H160" s="2635"/>
      <c r="I160" s="3096"/>
      <c r="J160" s="3097"/>
      <c r="K160" s="3097"/>
      <c r="L160" s="3097"/>
      <c r="M160" s="3098"/>
      <c r="N160" s="2954">
        <v>0</v>
      </c>
      <c r="O160" s="2618">
        <f t="shared" si="91"/>
        <v>4</v>
      </c>
      <c r="P160" s="728" t="e">
        <f t="shared" si="109"/>
        <v>#DIV/0!</v>
      </c>
      <c r="Q160" s="2780"/>
      <c r="R160" s="2968">
        <f t="shared" si="92"/>
        <v>0</v>
      </c>
      <c r="S160" s="641" t="e">
        <f t="shared" si="110"/>
        <v>#DIV/0!</v>
      </c>
      <c r="T160" s="642"/>
      <c r="U160" s="2607"/>
      <c r="V160" s="798">
        <f>採点LR2!K168</f>
        <v>4</v>
      </c>
      <c r="W160" s="2990"/>
      <c r="Y160" s="660">
        <f t="shared" si="112"/>
        <v>4</v>
      </c>
      <c r="Z160" s="2611" t="e">
        <f>重み!D160</f>
        <v>#DIV/0!</v>
      </c>
      <c r="AA160" s="660">
        <f t="shared" si="113"/>
        <v>0</v>
      </c>
      <c r="AB160" s="2611" t="e">
        <f>重み!E160</f>
        <v>#DIV/0!</v>
      </c>
      <c r="AC160" s="2610"/>
      <c r="AD160" s="2607"/>
      <c r="AE160" s="2609" t="e">
        <f>重み!M160</f>
        <v>#DIV/0!</v>
      </c>
      <c r="AF160" s="2608"/>
      <c r="AG160" s="2609" t="e">
        <f>重み!N160</f>
        <v>#DIV/0!</v>
      </c>
    </row>
    <row r="161" spans="2:61" s="2687" customFormat="1" ht="14.25" hidden="1" customHeight="1">
      <c r="B161" s="2689"/>
      <c r="C161" s="2753"/>
      <c r="D161" s="2754">
        <v>3</v>
      </c>
      <c r="E161" s="2755" t="s">
        <v>3298</v>
      </c>
      <c r="F161" s="2756"/>
      <c r="G161" s="2597"/>
      <c r="H161" s="2635"/>
      <c r="I161" s="3096"/>
      <c r="J161" s="3097"/>
      <c r="K161" s="3097"/>
      <c r="L161" s="3097"/>
      <c r="M161" s="3098"/>
      <c r="N161" s="2954">
        <v>0</v>
      </c>
      <c r="O161" s="2618">
        <f t="shared" si="91"/>
        <v>4</v>
      </c>
      <c r="P161" s="728" t="e">
        <f t="shared" si="109"/>
        <v>#DIV/0!</v>
      </c>
      <c r="Q161" s="2780"/>
      <c r="R161" s="2968">
        <f t="shared" si="92"/>
        <v>0</v>
      </c>
      <c r="S161" s="641" t="e">
        <f t="shared" si="110"/>
        <v>#DIV/0!</v>
      </c>
      <c r="T161" s="642"/>
      <c r="U161" s="2607"/>
      <c r="V161" s="798">
        <f>採点LR2!F177</f>
        <v>4</v>
      </c>
      <c r="W161" s="2990"/>
      <c r="Y161" s="660">
        <f t="shared" si="112"/>
        <v>4</v>
      </c>
      <c r="Z161" s="2611" t="e">
        <f>重み!D161</f>
        <v>#DIV/0!</v>
      </c>
      <c r="AA161" s="660">
        <f t="shared" si="113"/>
        <v>0</v>
      </c>
      <c r="AB161" s="2611" t="e">
        <f>重み!E161</f>
        <v>#DIV/0!</v>
      </c>
      <c r="AC161" s="2610"/>
      <c r="AD161" s="2607"/>
      <c r="AE161" s="2609" t="e">
        <f>重み!M161</f>
        <v>#DIV/0!</v>
      </c>
      <c r="AF161" s="2608"/>
      <c r="AG161" s="2609" t="e">
        <f>重み!N161</f>
        <v>#DIV/0!</v>
      </c>
    </row>
    <row r="162" spans="2:61" s="2687" customFormat="1" ht="14.25" hidden="1" customHeight="1">
      <c r="B162" s="2689"/>
      <c r="C162" s="2753"/>
      <c r="D162" s="2754">
        <v>4</v>
      </c>
      <c r="E162" s="2755" t="s">
        <v>3300</v>
      </c>
      <c r="F162" s="2756"/>
      <c r="G162" s="2597"/>
      <c r="H162" s="2635"/>
      <c r="I162" s="3096"/>
      <c r="J162" s="3097"/>
      <c r="K162" s="3097"/>
      <c r="L162" s="3097"/>
      <c r="M162" s="3098"/>
      <c r="N162" s="2954">
        <v>0</v>
      </c>
      <c r="O162" s="2618">
        <f t="shared" si="91"/>
        <v>4</v>
      </c>
      <c r="P162" s="728" t="e">
        <f t="shared" si="109"/>
        <v>#DIV/0!</v>
      </c>
      <c r="Q162" s="2780"/>
      <c r="R162" s="2968">
        <f t="shared" si="92"/>
        <v>0</v>
      </c>
      <c r="S162" s="641" t="e">
        <f t="shared" si="110"/>
        <v>#DIV/0!</v>
      </c>
      <c r="T162" s="642"/>
      <c r="U162" s="2607"/>
      <c r="V162" s="798">
        <f>採点LR2!K177</f>
        <v>4</v>
      </c>
      <c r="W162" s="2990"/>
      <c r="Y162" s="660">
        <f t="shared" si="112"/>
        <v>4</v>
      </c>
      <c r="Z162" s="2611" t="e">
        <f>重み!D162</f>
        <v>#DIV/0!</v>
      </c>
      <c r="AA162" s="660">
        <f t="shared" si="113"/>
        <v>0</v>
      </c>
      <c r="AB162" s="2611" t="e">
        <f>重み!E162</f>
        <v>#DIV/0!</v>
      </c>
      <c r="AC162" s="2610"/>
      <c r="AD162" s="2607"/>
      <c r="AE162" s="2609" t="e">
        <f>重み!M162</f>
        <v>#DIV/0!</v>
      </c>
      <c r="AF162" s="2608"/>
      <c r="AG162" s="2609" t="e">
        <f>重み!N162</f>
        <v>#DIV/0!</v>
      </c>
    </row>
    <row r="163" spans="2:61" s="2687" customFormat="1" ht="14.25" hidden="1" customHeight="1">
      <c r="B163" s="2689"/>
      <c r="C163" s="2753"/>
      <c r="D163" s="2754">
        <v>5</v>
      </c>
      <c r="E163" s="2755" t="s">
        <v>3302</v>
      </c>
      <c r="F163" s="2756"/>
      <c r="G163" s="2597"/>
      <c r="H163" s="2635"/>
      <c r="I163" s="3096"/>
      <c r="J163" s="3097"/>
      <c r="K163" s="3097"/>
      <c r="L163" s="3097"/>
      <c r="M163" s="3098"/>
      <c r="N163" s="2954">
        <v>0</v>
      </c>
      <c r="O163" s="2618">
        <f t="shared" si="91"/>
        <v>5</v>
      </c>
      <c r="P163" s="728" t="e">
        <f t="shared" si="109"/>
        <v>#DIV/0!</v>
      </c>
      <c r="Q163" s="2780"/>
      <c r="R163" s="2968">
        <f t="shared" si="92"/>
        <v>0</v>
      </c>
      <c r="S163" s="641" t="e">
        <f t="shared" si="110"/>
        <v>#DIV/0!</v>
      </c>
      <c r="T163" s="642"/>
      <c r="U163" s="2607"/>
      <c r="V163" s="798">
        <f>採点LR2!F186</f>
        <v>5</v>
      </c>
      <c r="W163" s="2990"/>
      <c r="Y163" s="660">
        <f t="shared" si="112"/>
        <v>5</v>
      </c>
      <c r="Z163" s="2611" t="e">
        <f>重み!D163</f>
        <v>#DIV/0!</v>
      </c>
      <c r="AA163" s="660">
        <f t="shared" si="113"/>
        <v>0</v>
      </c>
      <c r="AB163" s="2611" t="e">
        <f>重み!E163</f>
        <v>#DIV/0!</v>
      </c>
      <c r="AC163" s="2610"/>
      <c r="AD163" s="2607"/>
      <c r="AE163" s="2609" t="e">
        <f>重み!M163</f>
        <v>#DIV/0!</v>
      </c>
      <c r="AF163" s="2608"/>
      <c r="AG163" s="2609" t="e">
        <f>重み!N163</f>
        <v>#DIV/0!</v>
      </c>
    </row>
    <row r="164" spans="2:61" s="2687" customFormat="1" ht="14.25" hidden="1" customHeight="1">
      <c r="B164" s="2689"/>
      <c r="C164" s="2753"/>
      <c r="D164" s="2754">
        <v>6</v>
      </c>
      <c r="E164" s="2755" t="s">
        <v>3304</v>
      </c>
      <c r="F164" s="2756"/>
      <c r="G164" s="2597"/>
      <c r="H164" s="2635"/>
      <c r="I164" s="3096"/>
      <c r="J164" s="3097"/>
      <c r="K164" s="3097"/>
      <c r="L164" s="3097"/>
      <c r="M164" s="3098"/>
      <c r="N164" s="2954">
        <v>0</v>
      </c>
      <c r="O164" s="2618">
        <f t="shared" si="91"/>
        <v>5</v>
      </c>
      <c r="P164" s="728" t="e">
        <f t="shared" si="109"/>
        <v>#DIV/0!</v>
      </c>
      <c r="Q164" s="2780"/>
      <c r="R164" s="2968">
        <f t="shared" si="92"/>
        <v>0</v>
      </c>
      <c r="S164" s="641" t="e">
        <f t="shared" si="110"/>
        <v>#DIV/0!</v>
      </c>
      <c r="T164" s="642"/>
      <c r="U164" s="2607"/>
      <c r="V164" s="798">
        <f>採点LR2!K186</f>
        <v>5</v>
      </c>
      <c r="W164" s="2990"/>
      <c r="Y164" s="660">
        <f t="shared" si="112"/>
        <v>5</v>
      </c>
      <c r="Z164" s="2611" t="e">
        <f>重み!D164</f>
        <v>#DIV/0!</v>
      </c>
      <c r="AA164" s="660">
        <f t="shared" si="113"/>
        <v>0</v>
      </c>
      <c r="AB164" s="2611" t="e">
        <f>重み!E164</f>
        <v>#DIV/0!</v>
      </c>
      <c r="AC164" s="2610"/>
      <c r="AD164" s="2607"/>
      <c r="AE164" s="2609" t="e">
        <f>重み!M164</f>
        <v>#DIV/0!</v>
      </c>
      <c r="AF164" s="2608"/>
      <c r="AG164" s="2609" t="e">
        <f>重み!N164</f>
        <v>#DIV/0!</v>
      </c>
    </row>
    <row r="165" spans="2:61" s="2687" customFormat="1" ht="14.25" hidden="1" customHeight="1" thickBot="1">
      <c r="B165" s="2689"/>
      <c r="C165" s="2757">
        <v>2.7</v>
      </c>
      <c r="D165" s="2758" t="s">
        <v>3306</v>
      </c>
      <c r="E165" s="2755"/>
      <c r="F165" s="2756"/>
      <c r="G165" s="2597"/>
      <c r="H165" s="2635"/>
      <c r="I165" s="3096"/>
      <c r="J165" s="3097"/>
      <c r="K165" s="3097"/>
      <c r="L165" s="3097"/>
      <c r="M165" s="3098"/>
      <c r="N165" s="2952">
        <v>0</v>
      </c>
      <c r="O165" s="2615">
        <f t="shared" si="91"/>
        <v>5</v>
      </c>
      <c r="P165" s="728" t="e">
        <f t="shared" si="109"/>
        <v>#DIV/0!</v>
      </c>
      <c r="Q165" s="2780"/>
      <c r="R165" s="2968">
        <f t="shared" si="92"/>
        <v>0</v>
      </c>
      <c r="S165" s="641" t="e">
        <f t="shared" si="110"/>
        <v>#DIV/0!</v>
      </c>
      <c r="T165" s="642"/>
      <c r="U165" s="2607"/>
      <c r="V165" s="2733">
        <f>採点LR2!F208</f>
        <v>5</v>
      </c>
      <c r="W165" s="2982"/>
      <c r="Y165" s="2975">
        <f>IF($Y$3=4,N165,V165)</f>
        <v>5</v>
      </c>
      <c r="Z165" s="2611" t="e">
        <f>重み!D165</f>
        <v>#DIV/0!</v>
      </c>
      <c r="AA165" s="2975">
        <f>IF($Y$3=4,Q165,W165)</f>
        <v>0</v>
      </c>
      <c r="AB165" s="2611" t="e">
        <f>重み!E165</f>
        <v>#DIV/0!</v>
      </c>
      <c r="AC165" s="2610"/>
      <c r="AD165" s="2607"/>
      <c r="AE165" s="2609" t="e">
        <f>重み!M165</f>
        <v>#DIV/0!</v>
      </c>
      <c r="AF165" s="2608"/>
      <c r="AG165" s="2609" t="e">
        <f>重み!N165</f>
        <v>#DIV/0!</v>
      </c>
      <c r="AS165" s="2377">
        <f t="shared" ref="AS165" si="114">ROUNDDOWN(AW165,1)</f>
        <v>0</v>
      </c>
    </row>
    <row r="166" spans="2:61" ht="14.25" customHeight="1" thickBot="1">
      <c r="B166" s="786">
        <v>3</v>
      </c>
      <c r="C166" s="2376" t="s">
        <v>1288</v>
      </c>
      <c r="D166" s="744"/>
      <c r="E166" s="648"/>
      <c r="F166" s="685"/>
      <c r="G166" s="2564"/>
      <c r="H166" s="2633"/>
      <c r="I166" s="673"/>
      <c r="J166" s="2895"/>
      <c r="K166" s="2895"/>
      <c r="L166" s="2895"/>
      <c r="M166" s="2222"/>
      <c r="N166" s="695" t="e">
        <f>ROUNDDOWN(Y166,1)</f>
        <v>#DIV/0!</v>
      </c>
      <c r="O166" s="695" t="e">
        <f t="shared" si="91"/>
        <v>#DIV/0!</v>
      </c>
      <c r="P166" s="675" t="e">
        <f>Z166</f>
        <v>#DIV/0!</v>
      </c>
      <c r="Q166" s="2785" t="e">
        <f>ROUNDDOWN(AA166,1)</f>
        <v>#DIV/0!</v>
      </c>
      <c r="R166" s="2969" t="e">
        <f t="shared" si="92"/>
        <v>#DIV/0!</v>
      </c>
      <c r="S166" s="676" t="e">
        <f t="shared" si="110"/>
        <v>#DIV/0!</v>
      </c>
      <c r="T166" s="677" t="e">
        <f>ROUNDDOWN(AC166,1)</f>
        <v>#DIV/0!</v>
      </c>
      <c r="U166" s="567"/>
      <c r="V166" s="801"/>
      <c r="W166" s="2982"/>
      <c r="Y166" s="2978" t="e">
        <f>Y167*Z167+Y168*Z168</f>
        <v>#DIV/0!</v>
      </c>
      <c r="Z166" s="2611" t="e">
        <f>重み!D166</f>
        <v>#DIV/0!</v>
      </c>
      <c r="AA166" s="2978" t="e">
        <f>AA167*AB167+AA168*AB168</f>
        <v>#DIV/0!</v>
      </c>
      <c r="AB166" s="644" t="e">
        <f>SUM(AB167,AB168)</f>
        <v>#DIV/0!</v>
      </c>
      <c r="AC166" s="3018" t="e">
        <f>IF(AA166=0,Y166,IF(Y166=0,AA166,Y166*AE$6+AA166*AG$6))</f>
        <v>#DIV/0!</v>
      </c>
      <c r="AD166" s="567"/>
      <c r="AE166" s="596" t="e">
        <f>重み!M166</f>
        <v>#DIV/0!</v>
      </c>
      <c r="AF166" s="581"/>
      <c r="AG166" s="644" t="e">
        <f>SUM(AG167,AG168)</f>
        <v>#DIV/0!</v>
      </c>
      <c r="AI166" s="2358">
        <v>3</v>
      </c>
      <c r="AJ166" s="2358"/>
      <c r="AK166" s="2358"/>
      <c r="AL166" s="2358"/>
      <c r="AM166" s="2358"/>
      <c r="AN166" s="2358">
        <v>4</v>
      </c>
      <c r="AO166" s="2358"/>
      <c r="AP166" s="2358"/>
      <c r="AQ166" s="2358"/>
      <c r="AR166" s="2358"/>
      <c r="AS166" s="2355" t="e">
        <f t="shared" si="99"/>
        <v>#DIV/0!</v>
      </c>
      <c r="AT166" s="810" t="e">
        <f>P166</f>
        <v>#DIV/0!</v>
      </c>
      <c r="AU166" s="677"/>
      <c r="AV166" s="2329"/>
      <c r="AW166" s="2354" t="e">
        <f>SUMPRODUCT($AZ$7:$BI$7,AI166:AR166)/AY166</f>
        <v>#DIV/0!</v>
      </c>
      <c r="AY166" s="2353" t="e">
        <f>SUMPRODUCT($AZ$7:$BI$7,AZ166:BI166)</f>
        <v>#DIV/0!</v>
      </c>
      <c r="AZ166" s="2339">
        <f t="shared" ref="AZ166:BI166" si="115">IF(AI166&gt;0,1,0)</f>
        <v>1</v>
      </c>
      <c r="BA166" s="2339">
        <f t="shared" si="115"/>
        <v>0</v>
      </c>
      <c r="BB166" s="2339">
        <f t="shared" si="115"/>
        <v>0</v>
      </c>
      <c r="BC166" s="2339">
        <f t="shared" si="115"/>
        <v>0</v>
      </c>
      <c r="BD166" s="2339">
        <f t="shared" si="115"/>
        <v>0</v>
      </c>
      <c r="BE166" s="2339">
        <f t="shared" si="115"/>
        <v>1</v>
      </c>
      <c r="BF166" s="2339">
        <f t="shared" si="115"/>
        <v>0</v>
      </c>
      <c r="BG166" s="2339">
        <f t="shared" si="115"/>
        <v>0</v>
      </c>
      <c r="BH166" s="2339">
        <f t="shared" si="115"/>
        <v>0</v>
      </c>
      <c r="BI166" s="2339">
        <f t="shared" si="115"/>
        <v>0</v>
      </c>
    </row>
    <row r="167" spans="2:61" ht="14.25" customHeight="1" thickBot="1">
      <c r="B167" s="698"/>
      <c r="C167" s="669">
        <v>3.1</v>
      </c>
      <c r="D167" s="744" t="s">
        <v>1289</v>
      </c>
      <c r="E167" s="648"/>
      <c r="F167" s="685"/>
      <c r="G167" s="2586"/>
      <c r="H167" s="2631"/>
      <c r="I167" s="3107"/>
      <c r="J167" s="3108"/>
      <c r="K167" s="3108"/>
      <c r="L167" s="3108"/>
      <c r="M167" s="3109"/>
      <c r="N167" s="2947">
        <v>3</v>
      </c>
      <c r="O167" s="785">
        <f t="shared" si="91"/>
        <v>3</v>
      </c>
      <c r="P167" s="728" t="e">
        <f t="shared" si="102"/>
        <v>#DIV/0!</v>
      </c>
      <c r="Q167" s="2780"/>
      <c r="R167" s="2968">
        <f t="shared" si="92"/>
        <v>0</v>
      </c>
      <c r="S167" s="641" t="e">
        <f t="shared" si="103"/>
        <v>#DIV/0!</v>
      </c>
      <c r="T167" s="642"/>
      <c r="U167" s="567"/>
      <c r="V167" s="802">
        <f>採点LR2!F228</f>
        <v>3</v>
      </c>
      <c r="W167" s="2982"/>
      <c r="Y167" s="2975">
        <f>IF($Y$3=4,N167,V167)</f>
        <v>3</v>
      </c>
      <c r="Z167" s="2611" t="e">
        <f>重み!D167</f>
        <v>#DIV/0!</v>
      </c>
      <c r="AA167" s="2975">
        <f>IF($Y$3=4,Q167,W167)</f>
        <v>0</v>
      </c>
      <c r="AB167" s="2611" t="e">
        <f>重み!E167</f>
        <v>#DIV/0!</v>
      </c>
      <c r="AC167" s="2610"/>
      <c r="AD167" s="567"/>
      <c r="AE167" s="596" t="e">
        <f>重み!M167</f>
        <v>#DIV/0!</v>
      </c>
      <c r="AF167" s="581"/>
      <c r="AG167" s="596" t="e">
        <f>重み!N167</f>
        <v>#DIV/0!</v>
      </c>
    </row>
    <row r="168" spans="2:61" ht="14.25" customHeight="1" thickBot="1">
      <c r="B168" s="698"/>
      <c r="C168" s="646">
        <v>3.2</v>
      </c>
      <c r="D168" s="744" t="s">
        <v>1290</v>
      </c>
      <c r="E168" s="647"/>
      <c r="F168" s="680"/>
      <c r="G168" s="2597"/>
      <c r="H168" s="2632"/>
      <c r="I168" s="636"/>
      <c r="J168" s="637"/>
      <c r="K168" s="637"/>
      <c r="L168" s="637"/>
      <c r="M168" s="638"/>
      <c r="N168" s="3015" t="e">
        <f>ROUNDDOWN(Y168,1)</f>
        <v>#DIV/0!</v>
      </c>
      <c r="O168" s="695" t="e">
        <f t="shared" si="91"/>
        <v>#DIV/0!</v>
      </c>
      <c r="P168" s="640" t="e">
        <f>Z168</f>
        <v>#DIV/0!</v>
      </c>
      <c r="Q168" s="2779" t="e">
        <f>ROUNDDOWN(AA168,1)</f>
        <v>#DIV/0!</v>
      </c>
      <c r="R168" s="2970" t="e">
        <f t="shared" si="92"/>
        <v>#DIV/0!</v>
      </c>
      <c r="S168" s="762" t="e">
        <f t="shared" si="103"/>
        <v>#DIV/0!</v>
      </c>
      <c r="T168" s="642"/>
      <c r="U168" s="567"/>
      <c r="V168" s="803"/>
      <c r="W168" s="2982"/>
      <c r="Y168" s="643" t="e">
        <f>SUMPRODUCT(Y169:Y171,Z169:Z171)</f>
        <v>#DIV/0!</v>
      </c>
      <c r="Z168" s="2611" t="e">
        <f>重み!D168</f>
        <v>#DIV/0!</v>
      </c>
      <c r="AA168" s="643" t="e">
        <f>SUMPRODUCT(AA169:AA171,AB169:AB171)</f>
        <v>#DIV/0!</v>
      </c>
      <c r="AB168" s="2611" t="e">
        <f>重み!E168</f>
        <v>#DIV/0!</v>
      </c>
      <c r="AC168" s="617"/>
      <c r="AD168" s="567"/>
      <c r="AE168" s="596" t="e">
        <f>重み!M168</f>
        <v>#DIV/0!</v>
      </c>
      <c r="AF168" s="581"/>
      <c r="AG168" s="596" t="e">
        <f>重み!N168</f>
        <v>#DIV/0!</v>
      </c>
    </row>
    <row r="169" spans="2:61" ht="14.25" customHeight="1">
      <c r="B169" s="698"/>
      <c r="C169" s="655"/>
      <c r="D169" s="656">
        <v>1</v>
      </c>
      <c r="E169" s="648" t="s">
        <v>149</v>
      </c>
      <c r="F169" s="685"/>
      <c r="G169" s="2586"/>
      <c r="H169" s="2631"/>
      <c r="I169" s="3096" t="s">
        <v>3561</v>
      </c>
      <c r="J169" s="3097"/>
      <c r="K169" s="3097"/>
      <c r="L169" s="3097"/>
      <c r="M169" s="3098"/>
      <c r="N169" s="2953">
        <v>0</v>
      </c>
      <c r="O169" s="658">
        <f t="shared" si="91"/>
        <v>4</v>
      </c>
      <c r="P169" s="728" t="e">
        <f t="shared" si="102"/>
        <v>#DIV/0!</v>
      </c>
      <c r="Q169" s="2780"/>
      <c r="R169" s="2968">
        <f t="shared" si="92"/>
        <v>0</v>
      </c>
      <c r="S169" s="641" t="e">
        <f t="shared" si="103"/>
        <v>#DIV/0!</v>
      </c>
      <c r="T169" s="642"/>
      <c r="U169" s="567"/>
      <c r="V169" s="798">
        <f>採点LR2!F262</f>
        <v>4</v>
      </c>
      <c r="W169" s="2990"/>
      <c r="Y169" s="660">
        <f t="shared" ref="Y169:Y171" si="116">IF($Y$3=4,N169,V169)</f>
        <v>4</v>
      </c>
      <c r="Z169" s="2611" t="e">
        <f>重み!D169</f>
        <v>#DIV/0!</v>
      </c>
      <c r="AA169" s="660">
        <f t="shared" ref="AA169:AA171" si="117">IF($Y$3=4,Q169,W169)</f>
        <v>0</v>
      </c>
      <c r="AB169" s="2611" t="e">
        <f>重み!E169</f>
        <v>#DIV/0!</v>
      </c>
      <c r="AC169" s="2610"/>
      <c r="AD169" s="567"/>
      <c r="AE169" s="596" t="e">
        <f>重み!M169</f>
        <v>#DIV/0!</v>
      </c>
      <c r="AF169" s="581"/>
      <c r="AG169" s="596" t="e">
        <f>重み!N169</f>
        <v>#DIV/0!</v>
      </c>
    </row>
    <row r="170" spans="2:61" ht="14.25" customHeight="1">
      <c r="B170" s="698"/>
      <c r="C170" s="655"/>
      <c r="D170" s="656">
        <v>2</v>
      </c>
      <c r="E170" s="648" t="s">
        <v>150</v>
      </c>
      <c r="F170" s="685"/>
      <c r="G170" s="2586"/>
      <c r="H170" s="2631"/>
      <c r="I170" s="3096"/>
      <c r="J170" s="3097"/>
      <c r="K170" s="3097"/>
      <c r="L170" s="3097"/>
      <c r="M170" s="3098"/>
      <c r="N170" s="2954">
        <v>0</v>
      </c>
      <c r="O170" s="667">
        <f t="shared" si="91"/>
        <v>3</v>
      </c>
      <c r="P170" s="728" t="e">
        <f t="shared" si="102"/>
        <v>#DIV/0!</v>
      </c>
      <c r="Q170" s="2780"/>
      <c r="R170" s="2968">
        <f t="shared" si="92"/>
        <v>0</v>
      </c>
      <c r="S170" s="641" t="e">
        <f t="shared" si="103"/>
        <v>#DIV/0!</v>
      </c>
      <c r="T170" s="642"/>
      <c r="U170" s="567"/>
      <c r="V170" s="798">
        <f>採点LR2!K262</f>
        <v>3</v>
      </c>
      <c r="W170" s="2990"/>
      <c r="Y170" s="660">
        <f t="shared" si="116"/>
        <v>3</v>
      </c>
      <c r="Z170" s="2611" t="e">
        <f>重み!D170</f>
        <v>#DIV/0!</v>
      </c>
      <c r="AA170" s="660">
        <f t="shared" si="117"/>
        <v>0</v>
      </c>
      <c r="AB170" s="2611" t="e">
        <f>重み!E170</f>
        <v>#DIV/0!</v>
      </c>
      <c r="AC170" s="2610"/>
      <c r="AD170" s="567"/>
      <c r="AE170" s="596" t="e">
        <f>重み!M170</f>
        <v>#DIV/0!</v>
      </c>
      <c r="AF170" s="581"/>
      <c r="AG170" s="596" t="e">
        <f>重み!N170</f>
        <v>#DIV/0!</v>
      </c>
    </row>
    <row r="171" spans="2:61" ht="14.25" customHeight="1" thickBot="1">
      <c r="B171" s="804"/>
      <c r="C171" s="703"/>
      <c r="D171" s="746">
        <v>3</v>
      </c>
      <c r="E171" s="704" t="s">
        <v>151</v>
      </c>
      <c r="F171" s="705"/>
      <c r="G171" s="2636"/>
      <c r="H171" s="2631"/>
      <c r="I171" s="3096"/>
      <c r="J171" s="3097"/>
      <c r="K171" s="3097"/>
      <c r="L171" s="3097"/>
      <c r="M171" s="3098"/>
      <c r="N171" s="2952">
        <v>3</v>
      </c>
      <c r="O171" s="663">
        <f t="shared" si="91"/>
        <v>3</v>
      </c>
      <c r="P171" s="747" t="e">
        <f t="shared" si="102"/>
        <v>#DIV/0!</v>
      </c>
      <c r="Q171" s="2784"/>
      <c r="R171" s="2973">
        <f t="shared" si="92"/>
        <v>0</v>
      </c>
      <c r="S171" s="748" t="e">
        <f t="shared" si="103"/>
        <v>#DIV/0!</v>
      </c>
      <c r="T171" s="706"/>
      <c r="U171" s="567"/>
      <c r="V171" s="800">
        <f>採点LR2!F271</f>
        <v>3</v>
      </c>
      <c r="W171" s="2982"/>
      <c r="Y171" s="660">
        <f t="shared" si="116"/>
        <v>3</v>
      </c>
      <c r="Z171" s="2611" t="e">
        <f>重み!D171</f>
        <v>#DIV/0!</v>
      </c>
      <c r="AA171" s="660">
        <f t="shared" si="117"/>
        <v>0</v>
      </c>
      <c r="AB171" s="2611" t="e">
        <f>重み!E171</f>
        <v>#DIV/0!</v>
      </c>
      <c r="AC171" s="2610"/>
      <c r="AD171" s="567"/>
      <c r="AE171" s="596" t="e">
        <f>重み!M171</f>
        <v>#DIV/0!</v>
      </c>
      <c r="AF171" s="581"/>
      <c r="AG171" s="596" t="e">
        <f>重み!N171</f>
        <v>#DIV/0!</v>
      </c>
    </row>
    <row r="172" spans="2:61" ht="14.25" customHeight="1" thickBot="1">
      <c r="B172" s="707" t="s">
        <v>1942</v>
      </c>
      <c r="C172" s="749" t="s">
        <v>1943</v>
      </c>
      <c r="D172" s="749"/>
      <c r="E172" s="749"/>
      <c r="F172" s="750"/>
      <c r="G172" s="2578"/>
      <c r="H172" s="2578"/>
      <c r="I172" s="711"/>
      <c r="J172" s="712"/>
      <c r="K172" s="712"/>
      <c r="L172" s="712"/>
      <c r="M172" s="713"/>
      <c r="N172" s="805"/>
      <c r="O172" s="805">
        <f t="shared" si="91"/>
        <v>0</v>
      </c>
      <c r="P172" s="715" t="e">
        <f t="shared" si="102"/>
        <v>#DIV/0!</v>
      </c>
      <c r="Q172" s="716"/>
      <c r="R172" s="2971">
        <f t="shared" si="92"/>
        <v>0</v>
      </c>
      <c r="S172" s="717">
        <f t="shared" si="103"/>
        <v>0</v>
      </c>
      <c r="T172" s="718" t="e">
        <f>ROUNDDOWN(AC172,1)</f>
        <v>#DIV/0!</v>
      </c>
      <c r="U172" s="567"/>
      <c r="V172" s="803"/>
      <c r="W172" s="2982"/>
      <c r="Y172" s="690"/>
      <c r="Z172" s="629" t="e">
        <f>重み!D172</f>
        <v>#DIV/0!</v>
      </c>
      <c r="AA172" s="690"/>
      <c r="AB172" s="629"/>
      <c r="AC172" s="617" t="e">
        <f>Z173*AC173+Z174*AC174+Z183*AC183</f>
        <v>#DIV/0!</v>
      </c>
      <c r="AD172" s="567"/>
      <c r="AE172" s="596" t="e">
        <f>重み!M172</f>
        <v>#DIV/0!</v>
      </c>
      <c r="AF172" s="581"/>
      <c r="AG172" s="596" t="e">
        <f>重み!N172</f>
        <v>#DIV/0!</v>
      </c>
      <c r="AI172" s="2375"/>
      <c r="AJ172" s="2361"/>
      <c r="AK172" s="2361"/>
      <c r="AL172" s="2361"/>
      <c r="AM172" s="2361"/>
      <c r="AN172" s="2361"/>
      <c r="AO172" s="2361"/>
      <c r="AP172" s="2361"/>
      <c r="AQ172" s="2361"/>
      <c r="AR172" s="2362"/>
      <c r="AS172" s="2363"/>
      <c r="AT172" s="2364" t="e">
        <f>P172</f>
        <v>#DIV/0!</v>
      </c>
      <c r="AU172" s="718" t="e">
        <f>ROUNDDOWN(AW172,1)</f>
        <v>#DIV/0!</v>
      </c>
      <c r="AW172" s="2354" t="e">
        <f>SUMPRODUCT(AT173:AT194,AW173:AW194)</f>
        <v>#DIV/0!</v>
      </c>
    </row>
    <row r="173" spans="2:61" ht="14.25" customHeight="1" thickBot="1">
      <c r="B173" s="806">
        <v>1</v>
      </c>
      <c r="C173" s="633" t="s">
        <v>672</v>
      </c>
      <c r="D173" s="756"/>
      <c r="E173" s="756"/>
      <c r="F173" s="701"/>
      <c r="G173" s="2567"/>
      <c r="H173" s="2567"/>
      <c r="I173" s="3107" t="s">
        <v>3571</v>
      </c>
      <c r="J173" s="3108"/>
      <c r="K173" s="3108"/>
      <c r="L173" s="3108"/>
      <c r="M173" s="3109"/>
      <c r="N173" s="2947">
        <v>0</v>
      </c>
      <c r="O173" s="785">
        <f t="shared" si="91"/>
        <v>0</v>
      </c>
      <c r="P173" s="728" t="e">
        <f>Z173</f>
        <v>#DIV/0!</v>
      </c>
      <c r="Q173" s="2779"/>
      <c r="R173" s="2970">
        <f t="shared" si="92"/>
        <v>0</v>
      </c>
      <c r="S173" s="641" t="e">
        <f t="shared" si="103"/>
        <v>#DIV/0!</v>
      </c>
      <c r="T173" s="642">
        <f>ROUNDDOWN(AC173,1)</f>
        <v>0</v>
      </c>
      <c r="U173" s="567"/>
      <c r="V173" s="798">
        <f>採点LR3!F7</f>
        <v>0</v>
      </c>
      <c r="W173" s="2990"/>
      <c r="Y173" s="2979">
        <f>IF($Y$3=4,N173,V173)</f>
        <v>0</v>
      </c>
      <c r="Z173" s="2611" t="e">
        <f>重み!D173</f>
        <v>#DIV/0!</v>
      </c>
      <c r="AA173" s="2979">
        <f>IF($Y$3=4,Q173,W173)</f>
        <v>0</v>
      </c>
      <c r="AB173" s="2611" t="e">
        <f>重み!E173</f>
        <v>#DIV/0!</v>
      </c>
      <c r="AC173" s="2610">
        <f>IF(AA173=0,Y173,IF(Y173=0,AA173,Y173*AE$6+AA173*AG$6))</f>
        <v>0</v>
      </c>
      <c r="AD173" s="567"/>
      <c r="AE173" s="596" t="e">
        <f>重み!M173</f>
        <v>#DIV/0!</v>
      </c>
      <c r="AF173" s="581"/>
      <c r="AG173" s="596" t="e">
        <f>重み!N173</f>
        <v>#DIV/0!</v>
      </c>
      <c r="AI173" s="2358"/>
      <c r="AJ173" s="2358"/>
      <c r="AK173" s="2358"/>
      <c r="AL173" s="2358"/>
      <c r="AM173" s="2358"/>
      <c r="AN173" s="2358">
        <v>4</v>
      </c>
      <c r="AO173" s="2358"/>
      <c r="AP173" s="2358"/>
      <c r="AQ173" s="2358"/>
      <c r="AR173" s="2358"/>
      <c r="AS173" s="2355">
        <f t="shared" ref="AS173:AS183" si="118">ROUNDDOWN(AW173,1)</f>
        <v>0</v>
      </c>
      <c r="AT173" s="810" t="e">
        <f>P173</f>
        <v>#DIV/0!</v>
      </c>
      <c r="AU173" s="677"/>
      <c r="AV173" s="2329"/>
      <c r="AW173" s="2378">
        <f>V173</f>
        <v>0</v>
      </c>
      <c r="AY173" s="2353" t="e">
        <f>SUMPRODUCT($AZ$7:$BI$7,AZ173:BI173)</f>
        <v>#DIV/0!</v>
      </c>
      <c r="AZ173" s="2339">
        <f t="shared" ref="AZ173:BI174" si="119">IF(AI173&gt;0,1,0)</f>
        <v>0</v>
      </c>
      <c r="BA173" s="2339">
        <f t="shared" si="119"/>
        <v>0</v>
      </c>
      <c r="BB173" s="2339">
        <f t="shared" si="119"/>
        <v>0</v>
      </c>
      <c r="BC173" s="2339">
        <f t="shared" si="119"/>
        <v>0</v>
      </c>
      <c r="BD173" s="2339">
        <f t="shared" si="119"/>
        <v>0</v>
      </c>
      <c r="BE173" s="2339">
        <f t="shared" si="119"/>
        <v>1</v>
      </c>
      <c r="BF173" s="2339">
        <f t="shared" si="119"/>
        <v>0</v>
      </c>
      <c r="BG173" s="2339">
        <f t="shared" si="119"/>
        <v>0</v>
      </c>
      <c r="BH173" s="2339">
        <f t="shared" si="119"/>
        <v>0</v>
      </c>
      <c r="BI173" s="2339">
        <f t="shared" si="119"/>
        <v>0</v>
      </c>
    </row>
    <row r="174" spans="2:61" ht="14.25" customHeight="1" thickBot="1">
      <c r="B174" s="807">
        <v>2</v>
      </c>
      <c r="C174" s="671" t="s">
        <v>673</v>
      </c>
      <c r="D174" s="671"/>
      <c r="E174" s="671"/>
      <c r="F174" s="685"/>
      <c r="G174" s="2637"/>
      <c r="H174" s="2637"/>
      <c r="I174" s="673"/>
      <c r="J174" s="2895"/>
      <c r="K174" s="2895"/>
      <c r="L174" s="2895"/>
      <c r="M174" s="2222"/>
      <c r="N174" s="808" t="e">
        <f>ROUNDDOWN(Y174,1)</f>
        <v>#DIV/0!</v>
      </c>
      <c r="O174" s="808" t="e">
        <f t="shared" si="91"/>
        <v>#DIV/0!</v>
      </c>
      <c r="P174" s="809" t="e">
        <f>Z174</f>
        <v>#DIV/0!</v>
      </c>
      <c r="Q174" s="2969" t="e">
        <f>ROUNDDOWN(AA174,1)</f>
        <v>#DIV/0!</v>
      </c>
      <c r="R174" s="2789" t="e">
        <f t="shared" si="92"/>
        <v>#DIV/0!</v>
      </c>
      <c r="S174" s="810" t="e">
        <f t="shared" si="103"/>
        <v>#DIV/0!</v>
      </c>
      <c r="T174" s="677" t="e">
        <f>ROUNDDOWN(AC174,1)</f>
        <v>#DIV/0!</v>
      </c>
      <c r="U174" s="567"/>
      <c r="V174" s="811"/>
      <c r="W174" s="2982"/>
      <c r="Y174" s="2978" t="e">
        <f>SUMPRODUCT(Y175:Y177,Z175:Z177)+Y182*Z182</f>
        <v>#DIV/0!</v>
      </c>
      <c r="Z174" s="2611" t="e">
        <f>重み!D174</f>
        <v>#DIV/0!</v>
      </c>
      <c r="AA174" s="2978" t="e">
        <f>SUMPRODUCT(AA175:AA177,AB175:AB177)+AA182*AB182</f>
        <v>#DIV/0!</v>
      </c>
      <c r="AB174" s="644" t="e">
        <f>SUM(AB175,AB176:AB177)+AB182</f>
        <v>#DIV/0!</v>
      </c>
      <c r="AC174" s="617" t="e">
        <f>IF(AA174=0,Y174,IF(Y174=0,AA174,Y174*AE$6+AA174*AG$6))</f>
        <v>#DIV/0!</v>
      </c>
      <c r="AD174" s="567"/>
      <c r="AE174" s="596" t="e">
        <f>重み!M174</f>
        <v>#DIV/0!</v>
      </c>
      <c r="AF174" s="581"/>
      <c r="AG174" s="644" t="e">
        <f>SUM(AG175,AG176:AG177)+AG182</f>
        <v>#DIV/0!</v>
      </c>
      <c r="AI174" s="2358">
        <v>3</v>
      </c>
      <c r="AJ174" s="2358"/>
      <c r="AK174" s="2358"/>
      <c r="AL174" s="2358"/>
      <c r="AM174" s="2358"/>
      <c r="AN174" s="2358">
        <v>4</v>
      </c>
      <c r="AO174" s="2358"/>
      <c r="AP174" s="2358"/>
      <c r="AQ174" s="2358"/>
      <c r="AR174" s="2358"/>
      <c r="AS174" s="2355" t="e">
        <f t="shared" si="118"/>
        <v>#DIV/0!</v>
      </c>
      <c r="AT174" s="810" t="e">
        <f>P174</f>
        <v>#DIV/0!</v>
      </c>
      <c r="AU174" s="677"/>
      <c r="AV174" s="2329"/>
      <c r="AW174" s="2354" t="e">
        <f>SUMPRODUCT($AZ$7:$BI$7,AI174:AR174)/AY174</f>
        <v>#DIV/0!</v>
      </c>
      <c r="AY174" s="2353" t="e">
        <f>SUMPRODUCT($AZ$7:$BI$7,AZ174:BI174)</f>
        <v>#DIV/0!</v>
      </c>
      <c r="AZ174" s="2339">
        <f t="shared" si="119"/>
        <v>1</v>
      </c>
      <c r="BA174" s="2339">
        <f t="shared" si="119"/>
        <v>0</v>
      </c>
      <c r="BB174" s="2339">
        <f t="shared" si="119"/>
        <v>0</v>
      </c>
      <c r="BC174" s="2339">
        <f t="shared" si="119"/>
        <v>0</v>
      </c>
      <c r="BD174" s="2339">
        <f t="shared" si="119"/>
        <v>0</v>
      </c>
      <c r="BE174" s="2339">
        <f t="shared" si="119"/>
        <v>1</v>
      </c>
      <c r="BF174" s="2339">
        <f t="shared" si="119"/>
        <v>0</v>
      </c>
      <c r="BG174" s="2339">
        <f t="shared" si="119"/>
        <v>0</v>
      </c>
      <c r="BH174" s="2339">
        <f t="shared" si="119"/>
        <v>0</v>
      </c>
      <c r="BI174" s="2339">
        <f t="shared" si="119"/>
        <v>0</v>
      </c>
    </row>
    <row r="175" spans="2:61" ht="14.25" customHeight="1">
      <c r="B175" s="806"/>
      <c r="C175" s="669">
        <v>2.1</v>
      </c>
      <c r="D175" s="758" t="s">
        <v>674</v>
      </c>
      <c r="E175" s="756"/>
      <c r="F175" s="701"/>
      <c r="G175" s="2575"/>
      <c r="H175" s="2575"/>
      <c r="I175" s="3107"/>
      <c r="J175" s="3108"/>
      <c r="K175" s="3108"/>
      <c r="L175" s="3108"/>
      <c r="M175" s="3109"/>
      <c r="N175" s="2902">
        <v>0</v>
      </c>
      <c r="O175" s="752">
        <f t="shared" si="91"/>
        <v>3</v>
      </c>
      <c r="P175" s="728" t="e">
        <f t="shared" si="102"/>
        <v>#DIV/0!</v>
      </c>
      <c r="Q175" s="2779"/>
      <c r="R175" s="2970">
        <f t="shared" si="92"/>
        <v>0</v>
      </c>
      <c r="S175" s="641" t="e">
        <f t="shared" si="103"/>
        <v>#DIV/0!</v>
      </c>
      <c r="T175" s="642"/>
      <c r="U175" s="567"/>
      <c r="V175" s="798">
        <f>採点LR3!F22</f>
        <v>3</v>
      </c>
      <c r="W175" s="2990"/>
      <c r="Y175" s="2975">
        <f t="shared" ref="Y175:Y176" si="120">IF($Y$3=4,N175,V175)</f>
        <v>3</v>
      </c>
      <c r="Z175" s="2611" t="e">
        <f>重み!D175</f>
        <v>#DIV/0!</v>
      </c>
      <c r="AA175" s="2975">
        <f t="shared" ref="AA175:AA176" si="121">IF($Y$3=4,Q175,W175)</f>
        <v>0</v>
      </c>
      <c r="AB175" s="2611" t="e">
        <f>重み!E175</f>
        <v>#DIV/0!</v>
      </c>
      <c r="AC175" s="2610"/>
      <c r="AD175" s="567"/>
      <c r="AE175" s="596" t="e">
        <f>重み!M175</f>
        <v>#DIV/0!</v>
      </c>
      <c r="AF175" s="581"/>
      <c r="AG175" s="596" t="e">
        <f>重み!N175</f>
        <v>#DIV/0!</v>
      </c>
      <c r="AS175" s="2377">
        <f t="shared" si="118"/>
        <v>0</v>
      </c>
    </row>
    <row r="176" spans="2:61" ht="14.25" customHeight="1" thickBot="1">
      <c r="B176" s="806"/>
      <c r="C176" s="669">
        <v>2.2000000000000002</v>
      </c>
      <c r="D176" s="758" t="s">
        <v>1944</v>
      </c>
      <c r="E176" s="671"/>
      <c r="F176" s="685"/>
      <c r="G176" s="2567"/>
      <c r="H176" s="2638"/>
      <c r="I176" s="3096"/>
      <c r="J176" s="3097"/>
      <c r="K176" s="3097"/>
      <c r="L176" s="3097"/>
      <c r="M176" s="3098"/>
      <c r="N176" s="2950">
        <v>0</v>
      </c>
      <c r="O176" s="670">
        <f t="shared" si="91"/>
        <v>3</v>
      </c>
      <c r="P176" s="728" t="e">
        <f t="shared" si="102"/>
        <v>#DIV/0!</v>
      </c>
      <c r="Q176" s="2779"/>
      <c r="R176" s="2970">
        <f t="shared" si="92"/>
        <v>0</v>
      </c>
      <c r="S176" s="762" t="e">
        <f t="shared" si="103"/>
        <v>#DIV/0!</v>
      </c>
      <c r="T176" s="642"/>
      <c r="U176" s="567"/>
      <c r="V176" s="800">
        <f>採点LR3!F31</f>
        <v>3</v>
      </c>
      <c r="W176" s="2982"/>
      <c r="Y176" s="2975">
        <f t="shared" si="120"/>
        <v>3</v>
      </c>
      <c r="Z176" s="2611" t="e">
        <f>重み!D176</f>
        <v>#DIV/0!</v>
      </c>
      <c r="AA176" s="2975">
        <f t="shared" si="121"/>
        <v>0</v>
      </c>
      <c r="AB176" s="2611" t="e">
        <f>重み!E176</f>
        <v>#DIV/0!</v>
      </c>
      <c r="AC176" s="2610"/>
      <c r="AD176" s="567"/>
      <c r="AE176" s="596" t="e">
        <f>重み!M176</f>
        <v>#DIV/0!</v>
      </c>
      <c r="AF176" s="581"/>
      <c r="AG176" s="596" t="e">
        <f>重み!N176</f>
        <v>#DIV/0!</v>
      </c>
      <c r="AS176" s="2377">
        <f t="shared" si="118"/>
        <v>0</v>
      </c>
    </row>
    <row r="177" spans="2:61" ht="14.25" customHeight="1" thickBot="1">
      <c r="B177" s="806"/>
      <c r="C177" s="664">
        <v>2.2999999999999998</v>
      </c>
      <c r="D177" s="812" t="s">
        <v>675</v>
      </c>
      <c r="E177" s="633"/>
      <c r="F177" s="635"/>
      <c r="G177" s="2597"/>
      <c r="H177" s="2597"/>
      <c r="I177" s="636"/>
      <c r="J177" s="637"/>
      <c r="K177" s="637"/>
      <c r="L177" s="637"/>
      <c r="M177" s="638"/>
      <c r="N177" s="808" t="e">
        <f>ROUNDDOWN(Y177,1)</f>
        <v>#DIV/0!</v>
      </c>
      <c r="O177" s="808" t="e">
        <f t="shared" si="91"/>
        <v>#DIV/0!</v>
      </c>
      <c r="P177" s="813" t="e">
        <f>Z177</f>
        <v>#DIV/0!</v>
      </c>
      <c r="Q177" s="2968" t="e">
        <f>ROUNDDOWN(AA177,1)</f>
        <v>#DIV/0!</v>
      </c>
      <c r="R177" s="2788" t="e">
        <f t="shared" si="92"/>
        <v>#DIV/0!</v>
      </c>
      <c r="S177" s="641" t="e">
        <f t="shared" si="103"/>
        <v>#DIV/0!</v>
      </c>
      <c r="T177" s="642"/>
      <c r="U177" s="567"/>
      <c r="V177" s="811"/>
      <c r="W177" s="2982"/>
      <c r="Y177" s="643" t="e">
        <f>SUMPRODUCT(Y178:Y181,Z178:Z181)</f>
        <v>#DIV/0!</v>
      </c>
      <c r="Z177" s="2611" t="e">
        <f>重み!D177</f>
        <v>#DIV/0!</v>
      </c>
      <c r="AA177" s="643" t="e">
        <f>SUMPRODUCT(AA178:AA181,AB178:AB181)</f>
        <v>#DIV/0!</v>
      </c>
      <c r="AB177" s="2611" t="e">
        <f>重み!E177</f>
        <v>#DIV/0!</v>
      </c>
      <c r="AC177" s="617"/>
      <c r="AD177" s="567"/>
      <c r="AE177" s="596" t="e">
        <f>重み!M177</f>
        <v>#DIV/0!</v>
      </c>
      <c r="AF177" s="581"/>
      <c r="AG177" s="596" t="e">
        <f>重み!N177</f>
        <v>#DIV/0!</v>
      </c>
      <c r="AS177" s="2377">
        <f t="shared" si="118"/>
        <v>0</v>
      </c>
    </row>
    <row r="178" spans="2:61" ht="14.25" customHeight="1">
      <c r="B178" s="806"/>
      <c r="C178" s="684"/>
      <c r="D178" s="656">
        <v>1</v>
      </c>
      <c r="E178" s="744" t="s">
        <v>1945</v>
      </c>
      <c r="F178" s="685"/>
      <c r="G178" s="2586"/>
      <c r="H178" s="2586"/>
      <c r="I178" s="3096"/>
      <c r="J178" s="3097"/>
      <c r="K178" s="3097"/>
      <c r="L178" s="3097"/>
      <c r="M178" s="3098"/>
      <c r="N178" s="2948">
        <v>0</v>
      </c>
      <c r="O178" s="658">
        <f t="shared" si="91"/>
        <v>3</v>
      </c>
      <c r="P178" s="659" t="e">
        <f t="shared" si="102"/>
        <v>#DIV/0!</v>
      </c>
      <c r="Q178" s="2968"/>
      <c r="R178" s="2788">
        <f t="shared" si="92"/>
        <v>0</v>
      </c>
      <c r="S178" s="659" t="e">
        <f t="shared" si="103"/>
        <v>#DIV/0!</v>
      </c>
      <c r="T178" s="642"/>
      <c r="U178" s="567"/>
      <c r="V178" s="798">
        <f>採点LR3!F65</f>
        <v>3</v>
      </c>
      <c r="W178" s="2990"/>
      <c r="Y178" s="660">
        <f t="shared" ref="Y178:Y181" si="122">IF($Y$3=4,N178,V178)</f>
        <v>3</v>
      </c>
      <c r="Z178" s="2611" t="e">
        <f>重み!D178</f>
        <v>#DIV/0!</v>
      </c>
      <c r="AA178" s="660">
        <f t="shared" ref="AA178:AA182" si="123">IF($Y$3=4,Q178,W178)</f>
        <v>0</v>
      </c>
      <c r="AB178" s="2611" t="e">
        <f>重み!E178</f>
        <v>#DIV/0!</v>
      </c>
      <c r="AC178" s="2610"/>
      <c r="AD178" s="567"/>
      <c r="AE178" s="596" t="e">
        <f>重み!M178</f>
        <v>#DIV/0!</v>
      </c>
      <c r="AF178" s="581"/>
      <c r="AG178" s="596" t="e">
        <f>重み!N181</f>
        <v>#DIV/0!</v>
      </c>
      <c r="AS178" s="2377">
        <f t="shared" si="118"/>
        <v>0</v>
      </c>
    </row>
    <row r="179" spans="2:61" ht="14.25" customHeight="1">
      <c r="B179" s="806"/>
      <c r="C179" s="684"/>
      <c r="D179" s="743">
        <v>2</v>
      </c>
      <c r="E179" s="744" t="s">
        <v>1946</v>
      </c>
      <c r="F179" s="685"/>
      <c r="G179" s="2586"/>
      <c r="H179" s="2586"/>
      <c r="I179" s="3096"/>
      <c r="J179" s="3097"/>
      <c r="K179" s="3097"/>
      <c r="L179" s="3097"/>
      <c r="M179" s="3098"/>
      <c r="N179" s="2949">
        <v>0</v>
      </c>
      <c r="O179" s="667">
        <f t="shared" si="91"/>
        <v>3</v>
      </c>
      <c r="P179" s="659" t="e">
        <f t="shared" si="102"/>
        <v>#DIV/0!</v>
      </c>
      <c r="Q179" s="2970"/>
      <c r="R179" s="2790">
        <f t="shared" si="92"/>
        <v>0</v>
      </c>
      <c r="S179" s="659" t="e">
        <f t="shared" si="103"/>
        <v>#DIV/0!</v>
      </c>
      <c r="T179" s="642"/>
      <c r="U179" s="567"/>
      <c r="V179" s="798">
        <f>採点LR3!F74</f>
        <v>3</v>
      </c>
      <c r="W179" s="2990"/>
      <c r="Y179" s="660">
        <f t="shared" si="122"/>
        <v>3</v>
      </c>
      <c r="Z179" s="2611" t="e">
        <f>重み!D179</f>
        <v>#DIV/0!</v>
      </c>
      <c r="AA179" s="660">
        <f t="shared" si="123"/>
        <v>0</v>
      </c>
      <c r="AB179" s="2611" t="e">
        <f>重み!E179</f>
        <v>#DIV/0!</v>
      </c>
      <c r="AC179" s="2610"/>
      <c r="AD179" s="567"/>
      <c r="AE179" s="596" t="e">
        <f>重み!M179</f>
        <v>#DIV/0!</v>
      </c>
      <c r="AF179" s="581"/>
      <c r="AG179" s="596" t="e">
        <f>重み!N193</f>
        <v>#DIV/0!</v>
      </c>
      <c r="AS179" s="2377">
        <f t="shared" si="118"/>
        <v>0</v>
      </c>
    </row>
    <row r="180" spans="2:61" ht="14.25" customHeight="1">
      <c r="B180" s="806"/>
      <c r="C180" s="684"/>
      <c r="D180" s="656">
        <v>3</v>
      </c>
      <c r="E180" s="744" t="s">
        <v>676</v>
      </c>
      <c r="F180" s="685"/>
      <c r="G180" s="2586"/>
      <c r="H180" s="2586"/>
      <c r="I180" s="3096"/>
      <c r="J180" s="3097"/>
      <c r="K180" s="3097"/>
      <c r="L180" s="3097"/>
      <c r="M180" s="3098"/>
      <c r="N180" s="2949">
        <v>0</v>
      </c>
      <c r="O180" s="667">
        <f t="shared" si="91"/>
        <v>3</v>
      </c>
      <c r="P180" s="659" t="e">
        <f t="shared" si="102"/>
        <v>#DIV/0!</v>
      </c>
      <c r="Q180" s="2970"/>
      <c r="R180" s="2790">
        <f t="shared" si="92"/>
        <v>0</v>
      </c>
      <c r="S180" s="659" t="e">
        <f t="shared" si="103"/>
        <v>#DIV/0!</v>
      </c>
      <c r="T180" s="642"/>
      <c r="U180" s="567"/>
      <c r="V180" s="798">
        <f>採点LR3!F83</f>
        <v>3</v>
      </c>
      <c r="W180" s="2982"/>
      <c r="Y180" s="660">
        <f t="shared" si="122"/>
        <v>3</v>
      </c>
      <c r="Z180" s="2611" t="e">
        <f>重み!D180</f>
        <v>#DIV/0!</v>
      </c>
      <c r="AA180" s="660">
        <f>IF($Y$3=4,Q180,W180)</f>
        <v>0</v>
      </c>
      <c r="AB180" s="2611" t="e">
        <f>重み!E180</f>
        <v>#DIV/0!</v>
      </c>
      <c r="AC180" s="2610"/>
      <c r="AD180" s="567"/>
      <c r="AE180" s="596" t="e">
        <f>重み!M180</f>
        <v>#DIV/0!</v>
      </c>
      <c r="AF180" s="581"/>
      <c r="AG180" s="596" t="e">
        <f>重み!N194</f>
        <v>#DIV/0!</v>
      </c>
      <c r="AS180" s="2377">
        <f t="shared" si="118"/>
        <v>0</v>
      </c>
    </row>
    <row r="181" spans="2:61" ht="14.25" customHeight="1" thickBot="1">
      <c r="B181" s="806"/>
      <c r="C181" s="693"/>
      <c r="D181" s="656">
        <v>4</v>
      </c>
      <c r="E181" s="744" t="s">
        <v>1002</v>
      </c>
      <c r="F181" s="685"/>
      <c r="G181" s="2586"/>
      <c r="H181" s="2586"/>
      <c r="I181" s="3096"/>
      <c r="J181" s="3097"/>
      <c r="K181" s="3097"/>
      <c r="L181" s="3097"/>
      <c r="M181" s="3098"/>
      <c r="N181" s="2949">
        <v>0</v>
      </c>
      <c r="O181" s="2618">
        <f t="shared" si="91"/>
        <v>3</v>
      </c>
      <c r="P181" s="814" t="e">
        <f t="shared" si="102"/>
        <v>#DIV/0!</v>
      </c>
      <c r="Q181" s="2964"/>
      <c r="R181" s="2786">
        <f t="shared" si="92"/>
        <v>0</v>
      </c>
      <c r="S181" s="814" t="e">
        <f t="shared" si="103"/>
        <v>#DIV/0!</v>
      </c>
      <c r="T181" s="723"/>
      <c r="U181" s="567"/>
      <c r="V181" s="2991">
        <f>採点LR3!F103</f>
        <v>3</v>
      </c>
      <c r="W181" s="2982"/>
      <c r="Y181" s="660">
        <f t="shared" si="122"/>
        <v>3</v>
      </c>
      <c r="Z181" s="2611" t="e">
        <f>重み!D181</f>
        <v>#DIV/0!</v>
      </c>
      <c r="AA181" s="660">
        <f t="shared" si="123"/>
        <v>0</v>
      </c>
      <c r="AB181" s="2611" t="e">
        <f>重み!E181</f>
        <v>#DIV/0!</v>
      </c>
      <c r="AC181" s="2610"/>
      <c r="AD181" s="567"/>
      <c r="AE181" s="596" t="e">
        <f>重み!M181</f>
        <v>#DIV/0!</v>
      </c>
      <c r="AF181" s="581"/>
      <c r="AG181" s="596">
        <f>重み!N195</f>
        <v>0</v>
      </c>
      <c r="AS181" s="2377">
        <f t="shared" si="118"/>
        <v>0</v>
      </c>
    </row>
    <row r="182" spans="2:61" s="2687" customFormat="1" ht="14.25" hidden="1" customHeight="1" thickBot="1">
      <c r="B182" s="806"/>
      <c r="C182" s="2937">
        <v>2.1</v>
      </c>
      <c r="D182" s="2938" t="s">
        <v>1002</v>
      </c>
      <c r="E182" s="744"/>
      <c r="F182" s="685"/>
      <c r="G182" s="2597"/>
      <c r="H182" s="2597"/>
      <c r="I182" s="3107"/>
      <c r="J182" s="3108"/>
      <c r="K182" s="3108"/>
      <c r="L182" s="3108"/>
      <c r="M182" s="3109"/>
      <c r="N182" s="2950">
        <v>3</v>
      </c>
      <c r="O182" s="670">
        <f t="shared" si="91"/>
        <v>100</v>
      </c>
      <c r="P182" s="728" t="e">
        <f t="shared" ref="P182" si="124">Z182</f>
        <v>#DIV/0!</v>
      </c>
      <c r="Q182" s="2779"/>
      <c r="R182" s="2970">
        <f t="shared" si="92"/>
        <v>0</v>
      </c>
      <c r="S182" s="641" t="e">
        <f t="shared" ref="S182" si="125">AB182</f>
        <v>#DIV/0!</v>
      </c>
      <c r="T182" s="642"/>
      <c r="U182" s="2607"/>
      <c r="V182" s="3002">
        <v>100</v>
      </c>
      <c r="W182" s="2982"/>
      <c r="Y182" s="2975">
        <f>IF($Y$3=4,N182,V182)</f>
        <v>100</v>
      </c>
      <c r="Z182" s="2611" t="e">
        <f>重み!D182</f>
        <v>#DIV/0!</v>
      </c>
      <c r="AA182" s="2975">
        <f t="shared" si="123"/>
        <v>0</v>
      </c>
      <c r="AB182" s="2611" t="e">
        <f>重み!E182</f>
        <v>#DIV/0!</v>
      </c>
      <c r="AC182" s="2610"/>
      <c r="AD182" s="2607"/>
      <c r="AE182" s="2609" t="e">
        <f>重み!M182</f>
        <v>#DIV/0!</v>
      </c>
      <c r="AF182" s="2608"/>
      <c r="AG182" s="2609"/>
      <c r="AS182" s="2377"/>
    </row>
    <row r="183" spans="2:61" ht="14.25" customHeight="1">
      <c r="B183" s="815">
        <v>3</v>
      </c>
      <c r="C183" s="671" t="s">
        <v>1003</v>
      </c>
      <c r="D183" s="744"/>
      <c r="E183" s="671"/>
      <c r="F183" s="685"/>
      <c r="G183" s="2582"/>
      <c r="H183" s="2582"/>
      <c r="I183" s="650"/>
      <c r="J183" s="651"/>
      <c r="K183" s="651"/>
      <c r="L183" s="651"/>
      <c r="M183" s="3010"/>
      <c r="N183" s="2977" t="e">
        <f>ROUNDDOWN(Y183,1)</f>
        <v>#DIV/0!</v>
      </c>
      <c r="O183" s="2977" t="e">
        <f t="shared" si="91"/>
        <v>#DIV/0!</v>
      </c>
      <c r="P183" s="675" t="e">
        <f>Z183</f>
        <v>#DIV/0!</v>
      </c>
      <c r="Q183" s="2785" t="e">
        <f>ROUNDDOWN(AA183,1)</f>
        <v>#DIV/0!</v>
      </c>
      <c r="R183" s="2969" t="e">
        <f t="shared" si="92"/>
        <v>#DIV/0!</v>
      </c>
      <c r="S183" s="676" t="e">
        <f t="shared" ref="S183:S184" si="126">AB183</f>
        <v>#DIV/0!</v>
      </c>
      <c r="T183" s="677" t="e">
        <f>ROUNDDOWN(AC183,1)</f>
        <v>#DIV/0!</v>
      </c>
      <c r="U183" s="567"/>
      <c r="V183" s="2982"/>
      <c r="W183" s="2982"/>
      <c r="Y183" s="2978" t="e">
        <f>Y184*Z184+Y188*Z188+Y192*Z192</f>
        <v>#DIV/0!</v>
      </c>
      <c r="Z183" s="2611" t="e">
        <f>重み!D183</f>
        <v>#DIV/0!</v>
      </c>
      <c r="AA183" s="2978" t="e">
        <f>AA184*AB184+AA188*AB188+AA192*AB192</f>
        <v>#DIV/0!</v>
      </c>
      <c r="AB183" s="644" t="e">
        <f>SUM(AB184,AB188,AB192)</f>
        <v>#DIV/0!</v>
      </c>
      <c r="AC183" s="617" t="e">
        <f>IF(AA183=0,Y183,IF(Y183=0,AA183,Y183*AE$6+AA183*AG$6))</f>
        <v>#DIV/0!</v>
      </c>
      <c r="AD183" s="567"/>
      <c r="AE183" s="596" t="e">
        <f>重み!M183</f>
        <v>#DIV/0!</v>
      </c>
      <c r="AF183" s="581"/>
      <c r="AG183" s="644" t="e">
        <f>SUM(AG184,AG188,AG192)</f>
        <v>#DIV/0!</v>
      </c>
      <c r="AI183" s="2358">
        <v>3</v>
      </c>
      <c r="AJ183" s="2358"/>
      <c r="AK183" s="2358"/>
      <c r="AL183" s="2358"/>
      <c r="AM183" s="2358"/>
      <c r="AN183" s="2358">
        <v>4</v>
      </c>
      <c r="AO183" s="2358"/>
      <c r="AP183" s="2358"/>
      <c r="AQ183" s="2358"/>
      <c r="AR183" s="2358"/>
      <c r="AS183" s="2355" t="e">
        <f t="shared" si="118"/>
        <v>#DIV/0!</v>
      </c>
      <c r="AT183" s="810" t="e">
        <f>P183</f>
        <v>#DIV/0!</v>
      </c>
      <c r="AU183" s="677"/>
      <c r="AV183" s="2329"/>
      <c r="AW183" s="2354" t="e">
        <f>SUMPRODUCT($AZ$7:$BI$7,AI183:AR183)/AY183</f>
        <v>#DIV/0!</v>
      </c>
      <c r="AY183" s="2353" t="e">
        <f>SUMPRODUCT($AZ$7:$BI$7,AZ183:BI183)</f>
        <v>#DIV/0!</v>
      </c>
      <c r="AZ183" s="2339">
        <f t="shared" ref="AZ183:BI183" si="127">IF(AI183&gt;0,1,0)</f>
        <v>1</v>
      </c>
      <c r="BA183" s="2339">
        <f t="shared" si="127"/>
        <v>0</v>
      </c>
      <c r="BB183" s="2339">
        <f t="shared" si="127"/>
        <v>0</v>
      </c>
      <c r="BC183" s="2339">
        <f t="shared" si="127"/>
        <v>0</v>
      </c>
      <c r="BD183" s="2339">
        <f t="shared" si="127"/>
        <v>0</v>
      </c>
      <c r="BE183" s="2339">
        <f t="shared" si="127"/>
        <v>1</v>
      </c>
      <c r="BF183" s="2339">
        <f t="shared" si="127"/>
        <v>0</v>
      </c>
      <c r="BG183" s="2339">
        <f t="shared" si="127"/>
        <v>0</v>
      </c>
      <c r="BH183" s="2339">
        <f t="shared" si="127"/>
        <v>0</v>
      </c>
      <c r="BI183" s="2339">
        <f t="shared" si="127"/>
        <v>0</v>
      </c>
    </row>
    <row r="184" spans="2:61" ht="14.25" customHeight="1" thickBot="1">
      <c r="B184" s="816"/>
      <c r="C184" s="646">
        <v>3.1</v>
      </c>
      <c r="D184" s="758" t="s">
        <v>1004</v>
      </c>
      <c r="E184" s="633"/>
      <c r="F184" s="635"/>
      <c r="G184" s="2597"/>
      <c r="H184" s="2597"/>
      <c r="I184" s="650"/>
      <c r="J184" s="651"/>
      <c r="K184" s="651"/>
      <c r="L184" s="651"/>
      <c r="M184" s="3010"/>
      <c r="N184" s="817" t="e">
        <f>ROUNDDOWN(Y184,1)</f>
        <v>#DIV/0!</v>
      </c>
      <c r="O184" s="817" t="e">
        <f t="shared" si="91"/>
        <v>#DIV/0!</v>
      </c>
      <c r="P184" s="640" t="e">
        <f>Z184</f>
        <v>#DIV/0!</v>
      </c>
      <c r="Q184" s="2779" t="e">
        <f>ROUNDDOWN(AA184,1)</f>
        <v>#DIV/0!</v>
      </c>
      <c r="R184" s="2970" t="e">
        <f t="shared" si="92"/>
        <v>#DIV/0!</v>
      </c>
      <c r="S184" s="641" t="e">
        <f t="shared" si="126"/>
        <v>#DIV/0!</v>
      </c>
      <c r="T184" s="642"/>
      <c r="U184" s="567"/>
      <c r="V184" s="2982"/>
      <c r="W184" s="2982"/>
      <c r="Y184" s="643" t="e">
        <f>SUMPRODUCT(Y185:Y187,Z185:Z187)</f>
        <v>#DIV/0!</v>
      </c>
      <c r="Z184" s="2611" t="e">
        <f>重み!D184</f>
        <v>#DIV/0!</v>
      </c>
      <c r="AA184" s="643" t="e">
        <f>SUMPRODUCT(AA185:AA187,AB185:AB187)</f>
        <v>#DIV/0!</v>
      </c>
      <c r="AB184" s="2611" t="e">
        <f>重み!E184</f>
        <v>#DIV/0!</v>
      </c>
      <c r="AC184" s="617"/>
      <c r="AD184" s="567"/>
      <c r="AE184" s="596" t="e">
        <f>重み!M184</f>
        <v>#DIV/0!</v>
      </c>
      <c r="AF184" s="581"/>
      <c r="AG184" s="596" t="e">
        <f>重み!N184</f>
        <v>#DIV/0!</v>
      </c>
    </row>
    <row r="185" spans="2:61" ht="14.25" customHeight="1">
      <c r="B185" s="818"/>
      <c r="C185" s="684"/>
      <c r="D185" s="656">
        <v>1</v>
      </c>
      <c r="E185" s="744" t="s">
        <v>1005</v>
      </c>
      <c r="F185" s="685"/>
      <c r="G185" s="2586"/>
      <c r="H185" s="2586"/>
      <c r="I185" s="3096"/>
      <c r="J185" s="3097"/>
      <c r="K185" s="3097"/>
      <c r="L185" s="3097"/>
      <c r="M185" s="3098"/>
      <c r="N185" s="2953">
        <v>0</v>
      </c>
      <c r="O185" s="819">
        <f t="shared" si="91"/>
        <v>3</v>
      </c>
      <c r="P185" s="728" t="e">
        <f t="shared" si="102"/>
        <v>#DIV/0!</v>
      </c>
      <c r="Q185" s="2779"/>
      <c r="R185" s="2970">
        <f t="shared" si="92"/>
        <v>0</v>
      </c>
      <c r="S185" s="641" t="e">
        <f t="shared" si="103"/>
        <v>#DIV/0!</v>
      </c>
      <c r="T185" s="642"/>
      <c r="U185" s="567"/>
      <c r="V185" s="2993">
        <f>採点LR3!F124</f>
        <v>3</v>
      </c>
      <c r="W185" s="2982"/>
      <c r="Y185" s="660">
        <f t="shared" ref="Y185:Y187" si="128">IF($Y$3=4,N185,V185)</f>
        <v>3</v>
      </c>
      <c r="Z185" s="2611" t="e">
        <f>重み!D185</f>
        <v>#DIV/0!</v>
      </c>
      <c r="AA185" s="660">
        <f t="shared" ref="AA185:AA187" si="129">IF($Y$3=4,Q185,W185)</f>
        <v>0</v>
      </c>
      <c r="AB185" s="2611" t="e">
        <f>重み!E185</f>
        <v>#DIV/0!</v>
      </c>
      <c r="AC185" s="2610"/>
      <c r="AD185" s="567"/>
      <c r="AE185" s="596" t="e">
        <f>重み!M185</f>
        <v>#DIV/0!</v>
      </c>
      <c r="AF185" s="581"/>
      <c r="AG185" s="596" t="e">
        <f>重み!N185</f>
        <v>#DIV/0!</v>
      </c>
    </row>
    <row r="186" spans="2:61" ht="14.25" customHeight="1">
      <c r="B186" s="818"/>
      <c r="C186" s="684"/>
      <c r="D186" s="743">
        <v>2</v>
      </c>
      <c r="E186" s="744" t="s">
        <v>1947</v>
      </c>
      <c r="F186" s="685"/>
      <c r="G186" s="2586"/>
      <c r="H186" s="2586"/>
      <c r="I186" s="3096"/>
      <c r="J186" s="3097"/>
      <c r="K186" s="3097"/>
      <c r="L186" s="3097"/>
      <c r="M186" s="3098"/>
      <c r="N186" s="2954">
        <v>0</v>
      </c>
      <c r="O186" s="820">
        <f t="shared" si="91"/>
        <v>3</v>
      </c>
      <c r="P186" s="728" t="e">
        <f t="shared" si="102"/>
        <v>#DIV/0!</v>
      </c>
      <c r="Q186" s="2779"/>
      <c r="R186" s="2970">
        <f t="shared" si="92"/>
        <v>0</v>
      </c>
      <c r="S186" s="641" t="e">
        <f t="shared" si="103"/>
        <v>#DIV/0!</v>
      </c>
      <c r="T186" s="642"/>
      <c r="U186" s="567"/>
      <c r="V186" s="2991">
        <f>採点LR3!F150</f>
        <v>3</v>
      </c>
      <c r="W186" s="2982"/>
      <c r="Y186" s="660">
        <f t="shared" si="128"/>
        <v>3</v>
      </c>
      <c r="Z186" s="2611" t="e">
        <f>重み!D186</f>
        <v>#DIV/0!</v>
      </c>
      <c r="AA186" s="660">
        <f t="shared" si="129"/>
        <v>0</v>
      </c>
      <c r="AB186" s="2611" t="e">
        <f>重み!E186</f>
        <v>#DIV/0!</v>
      </c>
      <c r="AC186" s="2610"/>
      <c r="AD186" s="567"/>
      <c r="AE186" s="596" t="e">
        <f>重み!M186</f>
        <v>#DIV/0!</v>
      </c>
      <c r="AF186" s="581"/>
      <c r="AG186" s="596" t="e">
        <f>重み!N186</f>
        <v>#DIV/0!</v>
      </c>
    </row>
    <row r="187" spans="2:61" ht="14.25" customHeight="1" thickBot="1">
      <c r="B187" s="818"/>
      <c r="C187" s="684"/>
      <c r="D187" s="656">
        <v>3</v>
      </c>
      <c r="E187" s="744" t="s">
        <v>1948</v>
      </c>
      <c r="F187" s="685"/>
      <c r="G187" s="2586"/>
      <c r="H187" s="2586"/>
      <c r="I187" s="3096"/>
      <c r="J187" s="3097"/>
      <c r="K187" s="3097"/>
      <c r="L187" s="3097"/>
      <c r="M187" s="3098"/>
      <c r="N187" s="2955">
        <v>0</v>
      </c>
      <c r="O187" s="821">
        <f t="shared" si="91"/>
        <v>3</v>
      </c>
      <c r="P187" s="728" t="e">
        <f t="shared" si="102"/>
        <v>#DIV/0!</v>
      </c>
      <c r="Q187" s="2779"/>
      <c r="R187" s="2970">
        <f t="shared" si="92"/>
        <v>0</v>
      </c>
      <c r="S187" s="641" t="e">
        <f t="shared" si="103"/>
        <v>#DIV/0!</v>
      </c>
      <c r="T187" s="642"/>
      <c r="U187" s="567"/>
      <c r="V187" s="2992">
        <f>採点LR3!F169</f>
        <v>3</v>
      </c>
      <c r="W187" s="2982"/>
      <c r="Y187" s="660">
        <f t="shared" si="128"/>
        <v>3</v>
      </c>
      <c r="Z187" s="2611" t="e">
        <f>重み!D187</f>
        <v>#DIV/0!</v>
      </c>
      <c r="AA187" s="660">
        <f t="shared" si="129"/>
        <v>0</v>
      </c>
      <c r="AB187" s="2611" t="e">
        <f>重み!E187</f>
        <v>#DIV/0!</v>
      </c>
      <c r="AC187" s="2610"/>
      <c r="AD187" s="567"/>
      <c r="AE187" s="596" t="e">
        <f>重み!M187</f>
        <v>#DIV/0!</v>
      </c>
      <c r="AF187" s="581"/>
      <c r="AG187" s="596" t="e">
        <f>重み!N187</f>
        <v>#DIV/0!</v>
      </c>
    </row>
    <row r="188" spans="2:61" ht="14.25" customHeight="1" thickBot="1">
      <c r="B188" s="818"/>
      <c r="C188" s="646">
        <v>3.2</v>
      </c>
      <c r="D188" s="744" t="s">
        <v>2438</v>
      </c>
      <c r="E188" s="756"/>
      <c r="F188" s="701"/>
      <c r="G188" s="2597"/>
      <c r="H188" s="2597"/>
      <c r="I188" s="636"/>
      <c r="J188" s="637"/>
      <c r="K188" s="637"/>
      <c r="L188" s="637"/>
      <c r="M188" s="638"/>
      <c r="N188" s="822" t="e">
        <f>ROUNDDOWN(Y188,1)</f>
        <v>#DIV/0!</v>
      </c>
      <c r="O188" s="822" t="e">
        <f t="shared" si="91"/>
        <v>#DIV/0!</v>
      </c>
      <c r="P188" s="728" t="e">
        <f>Z188</f>
        <v>#DIV/0!</v>
      </c>
      <c r="Q188" s="2779" t="e">
        <f>ROUNDDOWN(AA188,1)</f>
        <v>#DIV/0!</v>
      </c>
      <c r="R188" s="2970" t="e">
        <f t="shared" si="92"/>
        <v>#DIV/0!</v>
      </c>
      <c r="S188" s="641" t="e">
        <f t="shared" si="103"/>
        <v>#DIV/0!</v>
      </c>
      <c r="T188" s="642"/>
      <c r="U188" s="567"/>
      <c r="V188" s="2994"/>
      <c r="W188" s="2982"/>
      <c r="Y188" s="643" t="e">
        <f>SUMPRODUCT(Y189:Y191,Z189:Z191)</f>
        <v>#DIV/0!</v>
      </c>
      <c r="Z188" s="2611" t="e">
        <f>重み!D188</f>
        <v>#DIV/0!</v>
      </c>
      <c r="AA188" s="643" t="e">
        <f>SUMPRODUCT(AA189:AA191,AB189:AB191)</f>
        <v>#DIV/0!</v>
      </c>
      <c r="AB188" s="2611" t="e">
        <f>重み!E188</f>
        <v>#DIV/0!</v>
      </c>
      <c r="AC188" s="617"/>
      <c r="AD188" s="567"/>
      <c r="AE188" s="596" t="e">
        <f>重み!M188</f>
        <v>#DIV/0!</v>
      </c>
      <c r="AF188" s="581"/>
      <c r="AG188" s="596" t="e">
        <f>重み!N188</f>
        <v>#DIV/0!</v>
      </c>
    </row>
    <row r="189" spans="2:61" ht="14.25" customHeight="1">
      <c r="B189" s="818"/>
      <c r="C189" s="684"/>
      <c r="D189" s="656">
        <v>1</v>
      </c>
      <c r="E189" s="744" t="s">
        <v>1949</v>
      </c>
      <c r="F189" s="685"/>
      <c r="G189" s="2586"/>
      <c r="H189" s="2586"/>
      <c r="I189" s="3096"/>
      <c r="J189" s="3097"/>
      <c r="K189" s="3097"/>
      <c r="L189" s="3097"/>
      <c r="M189" s="3098"/>
      <c r="N189" s="2948">
        <v>0</v>
      </c>
      <c r="O189" s="658">
        <f t="shared" si="91"/>
        <v>3</v>
      </c>
      <c r="P189" s="728" t="e">
        <f t="shared" ref="P189:P194" si="130">Z189</f>
        <v>#DIV/0!</v>
      </c>
      <c r="Q189" s="2779"/>
      <c r="R189" s="2970">
        <f t="shared" si="92"/>
        <v>0</v>
      </c>
      <c r="S189" s="641" t="e">
        <f t="shared" si="103"/>
        <v>#DIV/0!</v>
      </c>
      <c r="T189" s="642"/>
      <c r="U189" s="567"/>
      <c r="V189" s="2993">
        <f>採点LR3!F179</f>
        <v>3</v>
      </c>
      <c r="W189" s="2982"/>
      <c r="Y189" s="660">
        <f t="shared" ref="Y189:Y191" si="131">IF($Y$3=4,N189,V189)</f>
        <v>3</v>
      </c>
      <c r="Z189" s="2611" t="e">
        <f>重み!D189</f>
        <v>#DIV/0!</v>
      </c>
      <c r="AA189" s="660">
        <f t="shared" ref="AA189:AA191" si="132">IF($Y$3=4,Q189,W189)</f>
        <v>0</v>
      </c>
      <c r="AB189" s="2611" t="e">
        <f>重み!E189</f>
        <v>#DIV/0!</v>
      </c>
      <c r="AC189" s="2610"/>
      <c r="AD189" s="567"/>
      <c r="AE189" s="596" t="e">
        <f>重み!M189</f>
        <v>#DIV/0!</v>
      </c>
      <c r="AF189" s="581"/>
      <c r="AG189" s="596" t="e">
        <f>重み!N189</f>
        <v>#DIV/0!</v>
      </c>
    </row>
    <row r="190" spans="2:61" ht="14.25" customHeight="1" thickBot="1">
      <c r="B190" s="818"/>
      <c r="C190" s="684"/>
      <c r="D190" s="656">
        <v>2</v>
      </c>
      <c r="E190" s="744" t="s">
        <v>1006</v>
      </c>
      <c r="F190" s="685"/>
      <c r="G190" s="2586"/>
      <c r="H190" s="2586"/>
      <c r="I190" s="3096"/>
      <c r="J190" s="3097"/>
      <c r="K190" s="3097"/>
      <c r="L190" s="3097"/>
      <c r="M190" s="3098"/>
      <c r="N190" s="2949">
        <v>0</v>
      </c>
      <c r="O190" s="667">
        <f t="shared" si="91"/>
        <v>3</v>
      </c>
      <c r="P190" s="791" t="e">
        <f t="shared" si="130"/>
        <v>#DIV/0!</v>
      </c>
      <c r="Q190" s="2779"/>
      <c r="R190" s="2970">
        <f t="shared" si="92"/>
        <v>0</v>
      </c>
      <c r="S190" s="641"/>
      <c r="T190" s="642"/>
      <c r="U190" s="567"/>
      <c r="V190" s="2992">
        <f>採点LR3!F188</f>
        <v>3</v>
      </c>
      <c r="W190" s="2982"/>
      <c r="Y190" s="660">
        <f t="shared" si="131"/>
        <v>3</v>
      </c>
      <c r="Z190" s="2611" t="e">
        <f>重み!D190</f>
        <v>#DIV/0!</v>
      </c>
      <c r="AA190" s="660">
        <f t="shared" si="132"/>
        <v>0</v>
      </c>
      <c r="AB190" s="2611" t="e">
        <f>重み!E190</f>
        <v>#DIV/0!</v>
      </c>
      <c r="AC190" s="2610"/>
      <c r="AD190" s="567"/>
      <c r="AE190" s="596" t="e">
        <f>重み!M190</f>
        <v>#DIV/0!</v>
      </c>
      <c r="AF190" s="581"/>
      <c r="AG190" s="596" t="e">
        <f>重み!N190</f>
        <v>#DIV/0!</v>
      </c>
    </row>
    <row r="191" spans="2:61" ht="14.25" customHeight="1" thickBot="1">
      <c r="B191" s="818"/>
      <c r="C191" s="684"/>
      <c r="D191" s="743">
        <v>3</v>
      </c>
      <c r="E191" s="744" t="s">
        <v>1950</v>
      </c>
      <c r="F191" s="685"/>
      <c r="G191" s="2586"/>
      <c r="H191" s="2586"/>
      <c r="I191" s="3096"/>
      <c r="J191" s="3097"/>
      <c r="K191" s="3097"/>
      <c r="L191" s="3097"/>
      <c r="M191" s="3098"/>
      <c r="N191" s="2949">
        <v>0</v>
      </c>
      <c r="O191" s="667">
        <f t="shared" si="91"/>
        <v>3</v>
      </c>
      <c r="P191" s="791" t="e">
        <f t="shared" si="130"/>
        <v>#DIV/0!</v>
      </c>
      <c r="Q191" s="2779"/>
      <c r="R191" s="2970">
        <f t="shared" si="92"/>
        <v>0</v>
      </c>
      <c r="S191" s="641" t="e">
        <f>AB191</f>
        <v>#DIV/0!</v>
      </c>
      <c r="T191" s="642"/>
      <c r="U191" s="567"/>
      <c r="V191" s="2992">
        <f>採点LR3!F205</f>
        <v>3</v>
      </c>
      <c r="W191" s="2982"/>
      <c r="Y191" s="660">
        <f t="shared" si="131"/>
        <v>3</v>
      </c>
      <c r="Z191" s="2611" t="e">
        <f>重み!D191</f>
        <v>#DIV/0!</v>
      </c>
      <c r="AA191" s="660">
        <f t="shared" si="132"/>
        <v>0</v>
      </c>
      <c r="AB191" s="2611" t="e">
        <f>重み!E191</f>
        <v>#DIV/0!</v>
      </c>
      <c r="AC191" s="2610"/>
      <c r="AD191" s="567"/>
      <c r="AE191" s="596" t="e">
        <f>重み!M191</f>
        <v>#DIV/0!</v>
      </c>
      <c r="AF191" s="581"/>
      <c r="AG191" s="596" t="e">
        <f>重み!N191</f>
        <v>#DIV/0!</v>
      </c>
    </row>
    <row r="192" spans="2:61" ht="14.25" customHeight="1" thickBot="1">
      <c r="B192" s="818"/>
      <c r="C192" s="646">
        <v>3.3</v>
      </c>
      <c r="D192" s="744" t="s">
        <v>1007</v>
      </c>
      <c r="E192" s="756"/>
      <c r="F192" s="701"/>
      <c r="G192" s="2597"/>
      <c r="H192" s="2597"/>
      <c r="I192" s="636"/>
      <c r="J192" s="637"/>
      <c r="K192" s="637"/>
      <c r="L192" s="637"/>
      <c r="M192" s="638"/>
      <c r="N192" s="822" t="e">
        <f>ROUNDDOWN(Y192,1)</f>
        <v>#DIV/0!</v>
      </c>
      <c r="O192" s="822" t="e">
        <f t="shared" si="91"/>
        <v>#DIV/0!</v>
      </c>
      <c r="P192" s="728" t="e">
        <f>Z192</f>
        <v>#DIV/0!</v>
      </c>
      <c r="Q192" s="2779" t="e">
        <f>ROUNDDOWN(AA192,1)</f>
        <v>#DIV/0!</v>
      </c>
      <c r="R192" s="2970" t="e">
        <f t="shared" si="92"/>
        <v>#DIV/0!</v>
      </c>
      <c r="S192" s="641" t="e">
        <f t="shared" ref="S192" si="133">AB192</f>
        <v>#DIV/0!</v>
      </c>
      <c r="T192" s="642"/>
      <c r="U192" s="567"/>
      <c r="V192" s="2994"/>
      <c r="W192" s="2982"/>
      <c r="Y192" s="643" t="e">
        <f>SUMPRODUCT(Y193:Y194,Z193:Z194)</f>
        <v>#DIV/0!</v>
      </c>
      <c r="Z192" s="2611" t="e">
        <f>重み!D192</f>
        <v>#DIV/0!</v>
      </c>
      <c r="AA192" s="643" t="e">
        <f>SUMPRODUCT(AA193:AA194,AB193:AB194)</f>
        <v>#DIV/0!</v>
      </c>
      <c r="AB192" s="2611" t="e">
        <f>重み!E192</f>
        <v>#DIV/0!</v>
      </c>
      <c r="AC192" s="617"/>
      <c r="AD192" s="567"/>
      <c r="AE192" s="596" t="e">
        <f>重み!M192</f>
        <v>#DIV/0!</v>
      </c>
      <c r="AF192" s="581"/>
      <c r="AG192" s="596" t="e">
        <f>重み!N192</f>
        <v>#DIV/0!</v>
      </c>
    </row>
    <row r="193" spans="2:47" ht="14.25" customHeight="1">
      <c r="B193" s="818"/>
      <c r="C193" s="684"/>
      <c r="D193" s="656">
        <v>1</v>
      </c>
      <c r="E193" s="3119" t="s">
        <v>1008</v>
      </c>
      <c r="F193" s="3113"/>
      <c r="G193" s="2586"/>
      <c r="H193" s="2586"/>
      <c r="I193" s="3096"/>
      <c r="J193" s="3097"/>
      <c r="K193" s="3097"/>
      <c r="L193" s="3097"/>
      <c r="M193" s="3098"/>
      <c r="N193" s="2948">
        <v>0</v>
      </c>
      <c r="O193" s="658">
        <f t="shared" si="91"/>
        <v>3</v>
      </c>
      <c r="P193" s="728" t="e">
        <f t="shared" si="130"/>
        <v>#DIV/0!</v>
      </c>
      <c r="Q193" s="2779"/>
      <c r="R193" s="2970">
        <f t="shared" si="92"/>
        <v>0</v>
      </c>
      <c r="S193" s="641" t="e">
        <f>AB193</f>
        <v>#DIV/0!</v>
      </c>
      <c r="T193" s="642"/>
      <c r="U193" s="567"/>
      <c r="V193" s="2993">
        <f>採点LR3!F216</f>
        <v>3</v>
      </c>
      <c r="W193" s="2982"/>
      <c r="Y193" s="660">
        <f t="shared" ref="Y193" si="134">IF($Y$3=4,N193,V193)</f>
        <v>3</v>
      </c>
      <c r="Z193" s="2611" t="e">
        <f>重み!D193</f>
        <v>#DIV/0!</v>
      </c>
      <c r="AA193" s="660">
        <f>IF($Y$3=4,Q193,W193)</f>
        <v>0</v>
      </c>
      <c r="AB193" s="2611" t="e">
        <f>重み!E193</f>
        <v>#DIV/0!</v>
      </c>
      <c r="AC193" s="2610"/>
      <c r="AD193" s="567"/>
      <c r="AE193" s="596" t="e">
        <f>重み!M193</f>
        <v>#DIV/0!</v>
      </c>
      <c r="AF193" s="581"/>
      <c r="AG193" s="596" t="e">
        <f>重み!N193</f>
        <v>#DIV/0!</v>
      </c>
    </row>
    <row r="194" spans="2:47" ht="14.25" customHeight="1" thickBot="1">
      <c r="B194" s="818"/>
      <c r="C194" s="684"/>
      <c r="D194" s="743">
        <v>2</v>
      </c>
      <c r="E194" s="3117" t="s">
        <v>2393</v>
      </c>
      <c r="F194" s="3118"/>
      <c r="G194" s="2636"/>
      <c r="H194" s="2636"/>
      <c r="I194" s="3096"/>
      <c r="J194" s="3097"/>
      <c r="K194" s="3097"/>
      <c r="L194" s="3097"/>
      <c r="M194" s="3098"/>
      <c r="N194" s="2949">
        <v>0</v>
      </c>
      <c r="O194" s="667">
        <f>ROUNDDOWN(Y194,1)</f>
        <v>3</v>
      </c>
      <c r="P194" s="791" t="e">
        <f t="shared" si="130"/>
        <v>#DIV/0!</v>
      </c>
      <c r="Q194" s="2779"/>
      <c r="R194" s="2974">
        <f t="shared" si="92"/>
        <v>0</v>
      </c>
      <c r="S194" s="641" t="e">
        <f>AB194</f>
        <v>#DIV/0!</v>
      </c>
      <c r="T194" s="642"/>
      <c r="U194" s="567"/>
      <c r="V194" s="2991">
        <f>採点LR3!F234</f>
        <v>3</v>
      </c>
      <c r="W194" s="2982"/>
      <c r="Y194" s="660">
        <f>IF($Y$3=4,N194,V194)</f>
        <v>3</v>
      </c>
      <c r="Z194" s="2611" t="e">
        <f>重み!D194</f>
        <v>#DIV/0!</v>
      </c>
      <c r="AA194" s="660">
        <f t="shared" ref="AA194" si="135">IF($Y$3=4,Q194,W194)</f>
        <v>0</v>
      </c>
      <c r="AB194" s="2611" t="e">
        <f>重み!E194</f>
        <v>#DIV/0!</v>
      </c>
      <c r="AC194" s="2610"/>
      <c r="AD194" s="567"/>
      <c r="AE194" s="630" t="e">
        <f>重み!M194</f>
        <v>#DIV/0!</v>
      </c>
      <c r="AF194" s="581"/>
      <c r="AG194" s="630" t="e">
        <f>重み!N194</f>
        <v>#DIV/0!</v>
      </c>
    </row>
    <row r="195" spans="2:47">
      <c r="B195" s="2360"/>
      <c r="C195" s="2360"/>
      <c r="D195" s="2360"/>
      <c r="E195" s="2360"/>
      <c r="F195" s="2360"/>
      <c r="G195" s="2360"/>
      <c r="H195" s="2625"/>
      <c r="I195" s="2360"/>
      <c r="J195" s="2360"/>
      <c r="K195" s="2360"/>
      <c r="L195" s="2360"/>
      <c r="M195" s="2360"/>
      <c r="N195" s="2625"/>
      <c r="O195" s="2360"/>
      <c r="P195" s="2360"/>
      <c r="Q195" s="2625"/>
      <c r="R195" s="2360"/>
      <c r="S195" s="2360"/>
      <c r="T195" s="2360"/>
      <c r="U195" s="567"/>
      <c r="V195" s="2997"/>
      <c r="W195" s="2997"/>
      <c r="X195" s="2360"/>
      <c r="Y195" s="2360"/>
      <c r="Z195" s="2360"/>
      <c r="AA195" s="2360"/>
      <c r="AB195" s="2360"/>
      <c r="AC195" s="2360"/>
      <c r="AD195" s="2360"/>
      <c r="AE195" s="2360"/>
      <c r="AF195" s="2360"/>
      <c r="AG195" s="2360"/>
      <c r="AH195" s="2360"/>
      <c r="AI195" s="2360"/>
      <c r="AJ195" s="2360"/>
      <c r="AK195" s="2360"/>
      <c r="AL195" s="2360"/>
      <c r="AM195" s="2360"/>
      <c r="AN195" s="2360"/>
      <c r="AO195" s="2360"/>
      <c r="AP195" s="2360"/>
      <c r="AQ195" s="2360"/>
      <c r="AR195" s="2360"/>
      <c r="AS195" s="2360"/>
      <c r="AT195" s="2360"/>
      <c r="AU195" s="2360"/>
    </row>
    <row r="196" spans="2:47"/>
  </sheetData>
  <sheetProtection algorithmName="SHA-512" hashValue="XUZGKVc/S/D6DU8DXkLD+rsND1aiaRsrojvfzpvKieTVDXP1Xd3yJoQ9xcUvkAKkIDNkbJH19oiaY+5+aciFcw==" saltValue="BFvzp3Z2x5dSR48AKbXM2g==" spinCount="100000" sheet="1" objects="1" scenarios="1" formatRows="0"/>
  <mergeCells count="149">
    <mergeCell ref="I182:M182"/>
    <mergeCell ref="I70:M70"/>
    <mergeCell ref="I73:M73"/>
    <mergeCell ref="I99:M99"/>
    <mergeCell ref="I115:M115"/>
    <mergeCell ref="I162:M162"/>
    <mergeCell ref="I163:M163"/>
    <mergeCell ref="I164:M164"/>
    <mergeCell ref="I165:M165"/>
    <mergeCell ref="I147:M147"/>
    <mergeCell ref="I149:M149"/>
    <mergeCell ref="I107:M107"/>
    <mergeCell ref="I108:M108"/>
    <mergeCell ref="I109:M109"/>
    <mergeCell ref="I110:M110"/>
    <mergeCell ref="K129:M129"/>
    <mergeCell ref="I120:M120"/>
    <mergeCell ref="I90:M90"/>
    <mergeCell ref="I91:M91"/>
    <mergeCell ref="I92:M92"/>
    <mergeCell ref="I86:M86"/>
    <mergeCell ref="I102:M102"/>
    <mergeCell ref="I103:M103"/>
    <mergeCell ref="I104:M104"/>
    <mergeCell ref="B3:F3"/>
    <mergeCell ref="I135:M135"/>
    <mergeCell ref="I136:M136"/>
    <mergeCell ref="I137:M137"/>
    <mergeCell ref="I144:M144"/>
    <mergeCell ref="I111:M111"/>
    <mergeCell ref="I113:M113"/>
    <mergeCell ref="I116:M116"/>
    <mergeCell ref="I118:M118"/>
    <mergeCell ref="I119:M119"/>
    <mergeCell ref="I123:M123"/>
    <mergeCell ref="I127:M127"/>
    <mergeCell ref="I128:M128"/>
    <mergeCell ref="I125:M125"/>
    <mergeCell ref="I126:M126"/>
    <mergeCell ref="I130:M130"/>
    <mergeCell ref="I131:M131"/>
    <mergeCell ref="I140:M140"/>
    <mergeCell ref="I141:M141"/>
    <mergeCell ref="I143:M143"/>
    <mergeCell ref="I132:M132"/>
    <mergeCell ref="I133:M133"/>
    <mergeCell ref="I134:M134"/>
    <mergeCell ref="I124:M124"/>
    <mergeCell ref="I185:M185"/>
    <mergeCell ref="I176:M176"/>
    <mergeCell ref="I178:M178"/>
    <mergeCell ref="I179:M179"/>
    <mergeCell ref="I180:M180"/>
    <mergeCell ref="E150:F150"/>
    <mergeCell ref="D155:F155"/>
    <mergeCell ref="I181:M181"/>
    <mergeCell ref="I170:M170"/>
    <mergeCell ref="I171:M171"/>
    <mergeCell ref="I154:M154"/>
    <mergeCell ref="I155:M155"/>
    <mergeCell ref="I173:M173"/>
    <mergeCell ref="I175:M175"/>
    <mergeCell ref="I156:M156"/>
    <mergeCell ref="I157:M157"/>
    <mergeCell ref="I167:M167"/>
    <mergeCell ref="I169:M169"/>
    <mergeCell ref="I150:M150"/>
    <mergeCell ref="I152:M152"/>
    <mergeCell ref="I153:M153"/>
    <mergeCell ref="I159:M159"/>
    <mergeCell ref="I160:M160"/>
    <mergeCell ref="I161:M161"/>
    <mergeCell ref="I186:M186"/>
    <mergeCell ref="E194:F194"/>
    <mergeCell ref="I194:M194"/>
    <mergeCell ref="I187:M187"/>
    <mergeCell ref="I189:M189"/>
    <mergeCell ref="I191:M191"/>
    <mergeCell ref="E193:F193"/>
    <mergeCell ref="I193:M193"/>
    <mergeCell ref="I190:M190"/>
    <mergeCell ref="I106:M106"/>
    <mergeCell ref="I95:M95"/>
    <mergeCell ref="I96:M96"/>
    <mergeCell ref="I97:M97"/>
    <mergeCell ref="I98:M98"/>
    <mergeCell ref="I94:M94"/>
    <mergeCell ref="E87:F87"/>
    <mergeCell ref="I87:M87"/>
    <mergeCell ref="I88:M88"/>
    <mergeCell ref="I81:M81"/>
    <mergeCell ref="I83:M83"/>
    <mergeCell ref="I84:M84"/>
    <mergeCell ref="E85:F85"/>
    <mergeCell ref="I85:M85"/>
    <mergeCell ref="I50:M50"/>
    <mergeCell ref="I51:M51"/>
    <mergeCell ref="I52:M52"/>
    <mergeCell ref="I53:M53"/>
    <mergeCell ref="I67:M67"/>
    <mergeCell ref="I69:M69"/>
    <mergeCell ref="I71:M71"/>
    <mergeCell ref="I72:M72"/>
    <mergeCell ref="I65:M65"/>
    <mergeCell ref="I66:M66"/>
    <mergeCell ref="I75:M75"/>
    <mergeCell ref="I76:M76"/>
    <mergeCell ref="I77:M77"/>
    <mergeCell ref="I80:M80"/>
    <mergeCell ref="E5:F5"/>
    <mergeCell ref="V5:W6"/>
    <mergeCell ref="I12:M12"/>
    <mergeCell ref="I13:M13"/>
    <mergeCell ref="I15:M15"/>
    <mergeCell ref="I16:M16"/>
    <mergeCell ref="I31:M31"/>
    <mergeCell ref="I33:M33"/>
    <mergeCell ref="I34:M34"/>
    <mergeCell ref="I23:M23"/>
    <mergeCell ref="I24:M24"/>
    <mergeCell ref="I25:M25"/>
    <mergeCell ref="I26:M26"/>
    <mergeCell ref="I17:M17"/>
    <mergeCell ref="I18:M18"/>
    <mergeCell ref="I19:M19"/>
    <mergeCell ref="I22:M22"/>
    <mergeCell ref="I11:M11"/>
    <mergeCell ref="G6:H6"/>
    <mergeCell ref="I37:M37"/>
    <mergeCell ref="I27:M27"/>
    <mergeCell ref="I28:M28"/>
    <mergeCell ref="I29:M29"/>
    <mergeCell ref="I30:M30"/>
    <mergeCell ref="I61:M61"/>
    <mergeCell ref="D47:E47"/>
    <mergeCell ref="I47:M47"/>
    <mergeCell ref="I38:M38"/>
    <mergeCell ref="I39:M39"/>
    <mergeCell ref="I41:M41"/>
    <mergeCell ref="I42:M42"/>
    <mergeCell ref="I45:M45"/>
    <mergeCell ref="I46:M46"/>
    <mergeCell ref="I60:M60"/>
    <mergeCell ref="I44:M44"/>
    <mergeCell ref="I43:M43"/>
    <mergeCell ref="I55:M55"/>
    <mergeCell ref="I56:M56"/>
    <mergeCell ref="I57:M57"/>
    <mergeCell ref="I58:M58"/>
  </mergeCells>
  <phoneticPr fontId="22"/>
  <conditionalFormatting sqref="R36:R47 R113 R101:R111 R21:R30 R79:R99 R49:R61 R146:R157 R159:R171 R11:R19 R123:R144 R173:R181 R64:R77 R115:R120 R183:R194">
    <cfRule type="expression" dxfId="225" priority="90" stopIfTrue="1">
      <formula>AND(AG11&gt;0,R11="")</formula>
    </cfRule>
    <cfRule type="expression" dxfId="224" priority="91" stopIfTrue="1">
      <formula>(AG11=0)</formula>
    </cfRule>
  </conditionalFormatting>
  <conditionalFormatting sqref="R10 R20 R35 R48 R63 R78 R100">
    <cfRule type="expression" dxfId="223" priority="92" stopIfTrue="1">
      <formula>AND(AG10&gt;0,R10="")</formula>
    </cfRule>
    <cfRule type="expression" dxfId="222" priority="93" stopIfTrue="1">
      <formula>AND(AG10=0)</formula>
    </cfRule>
  </conditionalFormatting>
  <conditionalFormatting sqref="AI78:AR78 AI113:AR120 AI124:AR128 AI146:AR157 AI10:AM10 AO10:AR10 AI63:AM63 AO63:AR63 AI138:AR144 AO20:AR20 AI20:AM20 AI33:AM35 AO33:AR35 AO48:AR48 AI48:AM48 AI99:AR100 AI166:AR171 AI174:AR183">
    <cfRule type="expression" dxfId="221" priority="85">
      <formula>AI$7&gt;0</formula>
    </cfRule>
  </conditionalFormatting>
  <conditionalFormatting sqref="AI159:AR164">
    <cfRule type="expression" dxfId="220" priority="82">
      <formula>AI$7&gt;0</formula>
    </cfRule>
  </conditionalFormatting>
  <conditionalFormatting sqref="AI165:AR165">
    <cfRule type="expression" dxfId="219" priority="79">
      <formula>AI$7&gt;0</formula>
    </cfRule>
  </conditionalFormatting>
  <conditionalFormatting sqref="AI158:AR158">
    <cfRule type="expression" dxfId="218" priority="75">
      <formula>AI$7&gt;0</formula>
    </cfRule>
  </conditionalFormatting>
  <conditionalFormatting sqref="R158">
    <cfRule type="expression" dxfId="217" priority="73" stopIfTrue="1">
      <formula>AND(AG158&gt;0,R158="")</formula>
    </cfRule>
    <cfRule type="expression" dxfId="216" priority="74" stopIfTrue="1">
      <formula>(AG158=0)</formula>
    </cfRule>
  </conditionalFormatting>
  <conditionalFormatting sqref="O11:O30 O123:O144 O173:O181 O113 O146:O171 O63:O69 O35:O61 O115:O120 O183:O194 O71:O111">
    <cfRule type="expression" dxfId="215" priority="292" stopIfTrue="1">
      <formula>AND(AE11&gt;0,O11="")</formula>
    </cfRule>
    <cfRule type="expression" dxfId="214" priority="293" stopIfTrue="1">
      <formula>(AE11=0)</formula>
    </cfRule>
  </conditionalFormatting>
  <conditionalFormatting sqref="O10">
    <cfRule type="expression" dxfId="213" priority="306" stopIfTrue="1">
      <formula>AND(AE10&gt;0,O10="")</formula>
    </cfRule>
    <cfRule type="expression" dxfId="212" priority="307" stopIfTrue="1">
      <formula>AND(AE10=0)</formula>
    </cfRule>
  </conditionalFormatting>
  <conditionalFormatting sqref="N11:N30 N123:N144 N173:N181 N113 N63:N69 N115:N120 N183:N194 N71:N111 N35:N61 N146:N171">
    <cfRule type="expression" dxfId="211" priority="69" stopIfTrue="1">
      <formula>(AE11=0)</formula>
    </cfRule>
  </conditionalFormatting>
  <conditionalFormatting sqref="N10">
    <cfRule type="expression" dxfId="210" priority="71" stopIfTrue="1">
      <formula>AE10=0</formula>
    </cfRule>
  </conditionalFormatting>
  <conditionalFormatting sqref="Q36:Q47 Q113 Q101:Q111 Q21:Q30 Q79:Q99 Q49:Q61 Q146:Q157 Q159:Q171 Q11:Q19 Q123:Q144 Q173:Q181 Q64:Q77 Q115:Q120 Q183:Q194">
    <cfRule type="expression" dxfId="209" priority="59" stopIfTrue="1">
      <formula>(AG11=0)</formula>
    </cfRule>
  </conditionalFormatting>
  <conditionalFormatting sqref="Q20 Q35 Q48 Q63 Q78 Q100">
    <cfRule type="expression" dxfId="208" priority="61" stopIfTrue="1">
      <formula>AND(AG20=0)</formula>
    </cfRule>
  </conditionalFormatting>
  <conditionalFormatting sqref="Q158">
    <cfRule type="expression" dxfId="207" priority="57" stopIfTrue="1">
      <formula>(AG158=0)</formula>
    </cfRule>
  </conditionalFormatting>
  <conditionalFormatting sqref="Q182">
    <cfRule type="expression" dxfId="206" priority="36" stopIfTrue="1">
      <formula>(AG182=0)</formula>
    </cfRule>
  </conditionalFormatting>
  <conditionalFormatting sqref="R31 R33:R34">
    <cfRule type="expression" dxfId="205" priority="52" stopIfTrue="1">
      <formula>AND(AG31&gt;0,R31="")</formula>
    </cfRule>
    <cfRule type="expression" dxfId="204" priority="53" stopIfTrue="1">
      <formula>(AG31=0)</formula>
    </cfRule>
  </conditionalFormatting>
  <conditionalFormatting sqref="O31 O33:O34">
    <cfRule type="expression" dxfId="203" priority="54" stopIfTrue="1">
      <formula>AND(AE31&gt;0,O31="")</formula>
    </cfRule>
    <cfRule type="expression" dxfId="202" priority="55" stopIfTrue="1">
      <formula>(AE31=0)</formula>
    </cfRule>
  </conditionalFormatting>
  <conditionalFormatting sqref="N31 N33:N34">
    <cfRule type="expression" dxfId="201" priority="51" stopIfTrue="1">
      <formula>(AE31=0)</formula>
    </cfRule>
  </conditionalFormatting>
  <conditionalFormatting sqref="Q31 Q33:Q34">
    <cfRule type="expression" dxfId="200" priority="50" stopIfTrue="1">
      <formula>(AG31=0)</formula>
    </cfRule>
  </conditionalFormatting>
  <conditionalFormatting sqref="Q10">
    <cfRule type="expression" dxfId="199" priority="48" stopIfTrue="1">
      <formula>AND(AF10&gt;0,Q10="")</formula>
    </cfRule>
    <cfRule type="expression" dxfId="198" priority="49" stopIfTrue="1">
      <formula>AND(AF10=0)</formula>
    </cfRule>
  </conditionalFormatting>
  <conditionalFormatting sqref="R114">
    <cfRule type="expression" dxfId="197" priority="44" stopIfTrue="1">
      <formula>AND(AG114&gt;0,R114="")</formula>
    </cfRule>
    <cfRule type="expression" dxfId="196" priority="45" stopIfTrue="1">
      <formula>(AG114=0)</formula>
    </cfRule>
  </conditionalFormatting>
  <conditionalFormatting sqref="O114">
    <cfRule type="expression" dxfId="195" priority="46" stopIfTrue="1">
      <formula>AND(AE114&gt;0,O114="")</formula>
    </cfRule>
    <cfRule type="expression" dxfId="194" priority="47" stopIfTrue="1">
      <formula>(AE114=0)</formula>
    </cfRule>
  </conditionalFormatting>
  <conditionalFormatting sqref="N114">
    <cfRule type="expression" dxfId="193" priority="43" stopIfTrue="1">
      <formula>(AE114=0)</formula>
    </cfRule>
  </conditionalFormatting>
  <conditionalFormatting sqref="Q114">
    <cfRule type="expression" dxfId="192" priority="42" stopIfTrue="1">
      <formula>(AG114=0)</formula>
    </cfRule>
  </conditionalFormatting>
  <conditionalFormatting sqref="O182">
    <cfRule type="expression" dxfId="191" priority="40" stopIfTrue="1">
      <formula>AND(AE182&gt;0,O182="")</formula>
    </cfRule>
    <cfRule type="expression" dxfId="190" priority="41" stopIfTrue="1">
      <formula>(AE182=0)</formula>
    </cfRule>
  </conditionalFormatting>
  <conditionalFormatting sqref="N182">
    <cfRule type="expression" dxfId="189" priority="39" stopIfTrue="1">
      <formula>(AE182=0)</formula>
    </cfRule>
  </conditionalFormatting>
  <conditionalFormatting sqref="R182">
    <cfRule type="expression" dxfId="188" priority="37" stopIfTrue="1">
      <formula>AND(AG182&gt;0,R182="")</formula>
    </cfRule>
    <cfRule type="expression" dxfId="187" priority="38" stopIfTrue="1">
      <formula>(AG182=0)</formula>
    </cfRule>
  </conditionalFormatting>
  <conditionalFormatting sqref="Q32">
    <cfRule type="expression" dxfId="186" priority="27" stopIfTrue="1">
      <formula>(AG32=0)</formula>
    </cfRule>
  </conditionalFormatting>
  <conditionalFormatting sqref="R32">
    <cfRule type="expression" dxfId="185" priority="29" stopIfTrue="1">
      <formula>AND(AG32&gt;0,R32="")</formula>
    </cfRule>
    <cfRule type="expression" dxfId="184" priority="30" stopIfTrue="1">
      <formula>(AG32=0)</formula>
    </cfRule>
  </conditionalFormatting>
  <conditionalFormatting sqref="O32">
    <cfRule type="expression" dxfId="183" priority="31" stopIfTrue="1">
      <formula>AND(AE32&gt;0,O32="")</formula>
    </cfRule>
    <cfRule type="expression" dxfId="182" priority="32" stopIfTrue="1">
      <formula>(AE32=0)</formula>
    </cfRule>
  </conditionalFormatting>
  <conditionalFormatting sqref="N32">
    <cfRule type="expression" dxfId="181" priority="28" stopIfTrue="1">
      <formula>(AE32=0)</formula>
    </cfRule>
  </conditionalFormatting>
  <conditionalFormatting sqref="I11:M11">
    <cfRule type="expression" dxfId="180" priority="26">
      <formula>OR($Y11&gt;3,$AA11&gt;3)</formula>
    </cfRule>
  </conditionalFormatting>
  <conditionalFormatting sqref="O70">
    <cfRule type="expression" dxfId="179" priority="23" stopIfTrue="1">
      <formula>AND(AE70&gt;0,O70="")</formula>
    </cfRule>
    <cfRule type="expression" dxfId="178" priority="24" stopIfTrue="1">
      <formula>(AE70=0)</formula>
    </cfRule>
  </conditionalFormatting>
  <conditionalFormatting sqref="N70">
    <cfRule type="expression" dxfId="177" priority="22" stopIfTrue="1">
      <formula>(AE70=0)</formula>
    </cfRule>
  </conditionalFormatting>
  <conditionalFormatting sqref="I12:M13 I22:M31 I15:M19 I33:M34 I37:M39 I41:M47 I50:M53 I55:M58 I60:M62 I65:M67 I69:M73 I75:M77 I80:M81 I83:M88 I90:M92 I94:M99 I102:M104 I106:M113 I115:M137 I143:M145 I147:M147 I149:M150 I152:M157 I159:M165 I167:M167 I169:M173 I175:M176 I178:M182 I185:M187 I189:M191 I193:M194 I140:M141">
    <cfRule type="expression" dxfId="176" priority="1">
      <formula>OR($Y12&gt;3,$AA12&gt;3)</formula>
    </cfRule>
  </conditionalFormatting>
  <dataValidations xWindow="895" yWindow="482" count="2">
    <dataValidation allowBlank="1" showErrorMessage="1" sqref="Y192 AA192 Y166 AA166 Y148 Y183:Y184 Y168 AA168 Y188 AA188 AA32 Y174 AA183:AA184 Y177 AA100:AA101 Y10:AA10 AA93 AA78:AA79 AA105 AA138:AA139 AA146 AA148 Y93 Y100:Y101 Y105 Y117:AA117 AA177 Y138:Y139 Y146 AA14 AA74 Y74 Y142 Y82 Y78:Y79 Y68 Y63:Y64 Y59 Y54 Y48:Y49 Y40 Y35:Y36 Y20:Y21 Y14 Y158 AA82 N10:R194 AA63:AA64 AA59 AA54 AA48:AA49 AA20:AA21 AA40 AA35:AA36 Y89 AA89 AA142 AA68 AS173:AS174 Y151 AS10:AT10 AS20 AS35 AS48 AS183 AS78 AS63 AS100 AS113:AS117 AS123:AS124 AS129 AS138 AS146 AS151 AS166 AA158 Y114:AA114 Z118:Z194 AA174 Y32 Z115:Z116 Z11:Z113 AA151"/>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T172 T112 T145 T121:T122 T62">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5" fitToHeight="0" orientation="portrait" r:id="rId1"/>
  <headerFooter alignWithMargins="0">
    <oddHeader>&amp;L&amp;F&amp;R&amp;A</oddHeader>
    <oddFooter>&amp;C&amp;P/&amp;N</oddFooter>
  </headerFooter>
  <rowBreaks count="1" manualBreakCount="1">
    <brk id="99" max="1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H154"/>
  <sheetViews>
    <sheetView showGridLines="0" zoomScaleNormal="100" workbookViewId="0">
      <selection activeCell="D4" sqref="D4:F4"/>
    </sheetView>
  </sheetViews>
  <sheetFormatPr defaultColWidth="0" defaultRowHeight="13" zeroHeight="1"/>
  <cols>
    <col min="1" max="1" width="0.90625" style="901" customWidth="1"/>
    <col min="2" max="2" width="17.36328125" style="901" customWidth="1"/>
    <col min="3" max="3" width="1.08984375" style="902" customWidth="1"/>
    <col min="4" max="4" width="32.36328125" style="901" customWidth="1"/>
    <col min="5" max="5" width="11.08984375" style="2624" customWidth="1"/>
    <col min="6" max="6" width="21.26953125" style="901" customWidth="1"/>
    <col min="7" max="7" width="1.36328125" style="901" customWidth="1"/>
    <col min="8" max="16384" width="0" style="901" hidden="1"/>
  </cols>
  <sheetData>
    <row r="1" spans="2:8" s="888" customFormat="1" ht="21">
      <c r="B1" s="885" t="s">
        <v>2696</v>
      </c>
      <c r="C1" s="886"/>
      <c r="E1" s="3028" t="s">
        <v>3500</v>
      </c>
      <c r="F1" s="887" t="str">
        <f>メイン!C11</f>
        <v>○○ビル</v>
      </c>
    </row>
    <row r="2" spans="2:8" s="892" customFormat="1" ht="13.5" thickBot="1">
      <c r="B2" s="889"/>
      <c r="C2" s="890"/>
      <c r="D2" s="890"/>
      <c r="E2" s="890"/>
      <c r="F2" s="890"/>
      <c r="G2" s="891"/>
      <c r="H2" s="891"/>
    </row>
    <row r="3" spans="2:8" s="888" customFormat="1" ht="21" customHeight="1" thickBot="1">
      <c r="B3" s="893"/>
      <c r="C3" s="894"/>
      <c r="D3" s="894" t="s">
        <v>2698</v>
      </c>
      <c r="E3" s="894"/>
      <c r="F3" s="895"/>
    </row>
    <row r="4" spans="2:8" s="897" customFormat="1" ht="81" customHeight="1" thickTop="1">
      <c r="B4" s="896" t="s">
        <v>2699</v>
      </c>
      <c r="C4" s="3029" t="s">
        <v>3501</v>
      </c>
      <c r="D4" s="3130" t="str">
        <f>C4</f>
        <v>　注）　設計における総合的なコンセプトを簡潔に記載してください。
　</v>
      </c>
      <c r="E4" s="3130"/>
      <c r="F4" s="3131"/>
    </row>
    <row r="5" spans="2:8" s="888" customFormat="1" ht="81" customHeight="1">
      <c r="B5" s="898" t="s">
        <v>2700</v>
      </c>
      <c r="C5" s="3030" t="s">
        <v>3502</v>
      </c>
      <c r="D5" s="3132" t="str">
        <f t="shared" ref="D5:D11" si="0">C5</f>
        <v>　注）　「Q1　室内環境」に対する配慮事項を簡潔に記載してください。</v>
      </c>
      <c r="E5" s="3132"/>
      <c r="F5" s="3133"/>
    </row>
    <row r="6" spans="2:8" s="888" customFormat="1" ht="81" customHeight="1">
      <c r="B6" s="898" t="s">
        <v>2701</v>
      </c>
      <c r="C6" s="3030" t="s">
        <v>3503</v>
      </c>
      <c r="D6" s="3132" t="str">
        <f t="shared" si="0"/>
        <v>　注）　「Q2　サービス性能」に対する配慮事項を簡潔に記載してください。</v>
      </c>
      <c r="E6" s="3132"/>
      <c r="F6" s="3133"/>
    </row>
    <row r="7" spans="2:8" s="888" customFormat="1" ht="81" customHeight="1">
      <c r="B7" s="898" t="s">
        <v>2702</v>
      </c>
      <c r="C7" s="3031" t="s">
        <v>3504</v>
      </c>
      <c r="D7" s="3132" t="str">
        <f t="shared" si="0"/>
        <v>　注）　「Q3　室外環境（敷地内）」に対する配慮事項を簡潔に記載してください。</v>
      </c>
      <c r="E7" s="3132"/>
      <c r="F7" s="3133"/>
    </row>
    <row r="8" spans="2:8" s="888" customFormat="1" ht="81" customHeight="1">
      <c r="B8" s="898" t="s">
        <v>1962</v>
      </c>
      <c r="C8" s="3031" t="s">
        <v>3505</v>
      </c>
      <c r="D8" s="3132" t="str">
        <f t="shared" si="0"/>
        <v>　注）　「LR1　エネルギー」に対する配慮事項を簡潔に記載してください。</v>
      </c>
      <c r="E8" s="3132"/>
      <c r="F8" s="3133"/>
    </row>
    <row r="9" spans="2:8" s="888" customFormat="1" ht="81" customHeight="1">
      <c r="B9" s="898" t="s">
        <v>2703</v>
      </c>
      <c r="C9" s="3031" t="s">
        <v>3506</v>
      </c>
      <c r="D9" s="3132" t="str">
        <f t="shared" si="0"/>
        <v>　注）　「LR2　資源・マテリアル」に対する配慮事項を簡潔に記載してください。</v>
      </c>
      <c r="E9" s="3132"/>
      <c r="F9" s="3133"/>
    </row>
    <row r="10" spans="2:8" s="888" customFormat="1" ht="81" customHeight="1" thickBot="1">
      <c r="B10" s="899" t="s">
        <v>2273</v>
      </c>
      <c r="C10" s="3032" t="s">
        <v>3507</v>
      </c>
      <c r="D10" s="3134" t="str">
        <f t="shared" si="0"/>
        <v>　注）　「LR3　敷地外環境」に対する配慮事項を簡潔に記載してください。</v>
      </c>
      <c r="E10" s="3134"/>
      <c r="F10" s="3135"/>
    </row>
    <row r="11" spans="2:8" s="888" customFormat="1" ht="108.75" customHeight="1" thickTop="1" thickBot="1">
      <c r="B11" s="900" t="s">
        <v>2704</v>
      </c>
      <c r="C11" s="3033" t="s">
        <v>3508</v>
      </c>
      <c r="D11" s="3128" t="str">
        <f t="shared" si="0"/>
        <v>　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E11" s="3128"/>
      <c r="F11" s="3129"/>
    </row>
    <row r="12" spans="2:8"/>
    <row r="13" spans="2:8" hidden="1"/>
    <row r="14" spans="2:8" hidden="1"/>
    <row r="15" spans="2:8" hidden="1"/>
    <row r="16" spans="2:8"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sheetData>
  <sheetProtection algorithmName="SHA-512" hashValue="7xIUUM/Wz803Lj0aBfVyGi6JbPWgyNtDrFr7YOrLRLrbo0EOxdPJJ2H3wbsfzN1byBZ88qA50VdbCZWpmkS5tg==" saltValue="j/zeZakSj8pHP5q087uDZQ==" spinCount="100000" sheet="1" objects="1" scenarios="1"/>
  <mergeCells count="8">
    <mergeCell ref="D11:F11"/>
    <mergeCell ref="D4:F4"/>
    <mergeCell ref="D5:F5"/>
    <mergeCell ref="D6:F6"/>
    <mergeCell ref="D7:F7"/>
    <mergeCell ref="D8:F8"/>
    <mergeCell ref="D9:F9"/>
    <mergeCell ref="D10:F10"/>
  </mergeCells>
  <phoneticPr fontId="22"/>
  <printOptions horizontalCentered="1"/>
  <pageMargins left="0.59055118110236227" right="0.59055118110236227" top="0.78740157480314965" bottom="0.59055118110236227" header="0.51181102362204722" footer="0.51181102362204722"/>
  <pageSetup paperSize="9" orientation="portrait" verticalDpi="300" r:id="rId1"/>
  <headerFooter alignWithMargins="0">
    <oddHeader>&amp;L&amp;F&amp;R&amp;A</oddHead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AE175"/>
  <sheetViews>
    <sheetView showGridLines="0" zoomScaleNormal="100" workbookViewId="0">
      <selection activeCell="F11" sqref="F11"/>
    </sheetView>
  </sheetViews>
  <sheetFormatPr defaultColWidth="0" defaultRowHeight="13" zeroHeight="1"/>
  <cols>
    <col min="1" max="1" width="1.26953125" customWidth="1"/>
    <col min="2" max="2" width="5.90625" style="132" customWidth="1"/>
    <col min="3" max="3" width="28.08984375" style="132" customWidth="1"/>
    <col min="4" max="4" width="15" style="132" customWidth="1"/>
    <col min="5" max="5" width="13.08984375" style="132" customWidth="1"/>
    <col min="6" max="6" width="9.90625" customWidth="1"/>
    <col min="7" max="7" width="3" customWidth="1"/>
    <col min="8" max="8" width="4.08984375" customWidth="1"/>
    <col min="9" max="9" width="29.36328125" bestFit="1" customWidth="1"/>
    <col min="10" max="10" width="10.7265625" bestFit="1" customWidth="1"/>
    <col min="11" max="11" width="1.08984375" customWidth="1"/>
    <col min="12" max="12" width="27.36328125" style="2417" customWidth="1"/>
    <col min="13" max="13" width="11.36328125" style="2417" customWidth="1"/>
    <col min="14" max="14" width="4.36328125" customWidth="1"/>
    <col min="15" max="15" width="2.90625" customWidth="1"/>
    <col min="16" max="16" width="5.6328125" hidden="1" customWidth="1"/>
    <col min="17" max="18" width="14.08984375" hidden="1" customWidth="1"/>
    <col min="19" max="19" width="2.08984375" hidden="1" customWidth="1"/>
    <col min="20" max="21" width="14.08984375" hidden="1" customWidth="1"/>
  </cols>
  <sheetData>
    <row r="1" spans="2:31" s="91" customFormat="1" ht="9.75" customHeight="1" thickBot="1"/>
    <row r="2" spans="2:31" s="96" customFormat="1" ht="19">
      <c r="B2" s="92" t="s">
        <v>206</v>
      </c>
      <c r="C2" s="93"/>
      <c r="D2" s="94"/>
      <c r="E2" s="93"/>
      <c r="F2" s="95"/>
      <c r="G2" s="91"/>
      <c r="H2" s="2466" t="s">
        <v>3147</v>
      </c>
      <c r="I2" s="102"/>
      <c r="J2" s="102"/>
      <c r="K2" s="102"/>
      <c r="L2" s="102"/>
      <c r="M2" s="102"/>
      <c r="N2" s="103"/>
      <c r="O2" s="91"/>
      <c r="P2" s="91"/>
      <c r="Q2" s="91"/>
      <c r="R2" s="91"/>
      <c r="S2" s="91"/>
      <c r="T2" s="91"/>
      <c r="U2" s="91"/>
      <c r="V2" s="91"/>
      <c r="W2" s="91"/>
      <c r="X2" s="91"/>
      <c r="Y2" s="91"/>
      <c r="Z2" s="91"/>
      <c r="AA2" s="91"/>
      <c r="AB2" s="91"/>
      <c r="AC2" s="91"/>
      <c r="AD2" s="91"/>
      <c r="AE2" s="91"/>
    </row>
    <row r="3" spans="2:31" s="96" customFormat="1" ht="21" customHeight="1">
      <c r="B3" s="97" t="s">
        <v>1760</v>
      </c>
      <c r="C3" s="98"/>
      <c r="D3" s="99"/>
      <c r="E3" s="100"/>
      <c r="F3" s="101"/>
      <c r="G3" s="91"/>
      <c r="H3" s="109" t="s">
        <v>2411</v>
      </c>
      <c r="I3" s="107"/>
      <c r="J3" s="107"/>
      <c r="K3" s="107"/>
      <c r="L3" s="107"/>
      <c r="M3" s="107"/>
      <c r="N3" s="110"/>
      <c r="O3" s="91"/>
      <c r="Q3" s="104">
        <v>2</v>
      </c>
      <c r="R3" s="91" t="s">
        <v>1761</v>
      </c>
      <c r="S3" s="91"/>
      <c r="T3" s="91"/>
      <c r="U3" s="91"/>
      <c r="V3" s="91"/>
      <c r="W3" s="91"/>
      <c r="X3" s="91"/>
      <c r="Y3" s="91"/>
      <c r="Z3" s="91"/>
      <c r="AA3" s="91"/>
      <c r="AB3" s="91"/>
      <c r="AC3" s="91"/>
      <c r="AD3" s="91"/>
      <c r="AE3" s="91"/>
    </row>
    <row r="4" spans="2:31">
      <c r="B4" s="105"/>
      <c r="C4" s="106" t="s">
        <v>1762</v>
      </c>
      <c r="D4" s="106" t="s">
        <v>1763</v>
      </c>
      <c r="E4" s="107"/>
      <c r="F4" s="108"/>
      <c r="H4" s="109" t="s">
        <v>2412</v>
      </c>
      <c r="I4" s="107"/>
      <c r="J4" s="107"/>
      <c r="K4" s="107"/>
      <c r="L4" s="107"/>
      <c r="M4" s="107"/>
      <c r="N4" s="110"/>
    </row>
    <row r="5" spans="2:31" ht="16">
      <c r="B5" s="105"/>
      <c r="C5" s="111" t="str">
        <f>IF($Q$7=0,"根拠を記入してください",$Q$7)</f>
        <v>東京電力(株)</v>
      </c>
      <c r="D5" s="112">
        <f>IF($R$7=0,Q9,$R$7)</f>
        <v>5.0500000000000002E-4</v>
      </c>
      <c r="E5" s="3027" t="s">
        <v>3498</v>
      </c>
      <c r="F5" s="108"/>
      <c r="H5" s="109"/>
      <c r="I5" s="113" t="str">
        <f>CO2データ!D105</f>
        <v>北海道電力(株)</v>
      </c>
      <c r="J5" s="114">
        <f>CO2データ!I105</f>
        <v>6.8300000000000001E-4</v>
      </c>
      <c r="K5" s="107"/>
      <c r="L5" s="113" t="str">
        <f>CO2データ!D144</f>
        <v>(株)トヨタタービンアンドシステム</v>
      </c>
      <c r="M5" s="114">
        <f>CO2データ!I144</f>
        <v>4.9200000000000003E-4</v>
      </c>
      <c r="N5" s="110"/>
    </row>
    <row r="6" spans="2:31">
      <c r="B6" s="105"/>
      <c r="C6" s="107"/>
      <c r="D6" s="107"/>
      <c r="E6" s="107"/>
      <c r="F6" s="108"/>
      <c r="H6" s="109"/>
      <c r="I6" s="113" t="str">
        <f>CO2データ!D106</f>
        <v>東北電力(株)</v>
      </c>
      <c r="J6" s="114">
        <f>CO2データ!I106</f>
        <v>5.71E-4</v>
      </c>
      <c r="K6" s="109"/>
      <c r="L6" s="113" t="str">
        <f>CO2データ!D145</f>
        <v>(株)とんでん</v>
      </c>
      <c r="M6" s="114">
        <f>CO2データ!I145</f>
        <v>4.95E-4</v>
      </c>
      <c r="N6" s="115"/>
      <c r="Q6" t="s">
        <v>1764</v>
      </c>
      <c r="R6" t="s">
        <v>1765</v>
      </c>
    </row>
    <row r="7" spans="2:31">
      <c r="B7" s="105"/>
      <c r="C7" s="107"/>
      <c r="D7" s="107"/>
      <c r="E7" s="107"/>
      <c r="F7" s="108"/>
      <c r="H7" s="109"/>
      <c r="I7" s="113" t="str">
        <f>CO2データ!D107</f>
        <v>東京電力(株)</v>
      </c>
      <c r="J7" s="114">
        <f>CO2データ!I107</f>
        <v>5.0500000000000002E-4</v>
      </c>
      <c r="K7" s="109"/>
      <c r="L7" s="113" t="str">
        <f>CO2データ!D146</f>
        <v>(株)ナンワエナジー</v>
      </c>
      <c r="M7" s="114">
        <f>CO2データ!I146</f>
        <v>6.02E-4</v>
      </c>
      <c r="N7" s="115"/>
      <c r="Q7" t="str">
        <f>IF($Q$3=1,C10,IF($Q$3=2,C16,IF($Q$3=3,C20,IF($Q$3=4,C24,C28))))</f>
        <v>東京電力(株)</v>
      </c>
      <c r="R7">
        <f>IF($Q$3=1,D10,IF($Q$3=2,D16,IF($Q$3=3,D20,IF($Q$3=4,D24,D28))))</f>
        <v>5.0500000000000002E-4</v>
      </c>
    </row>
    <row r="8" spans="2:31">
      <c r="B8" s="105" t="s">
        <v>2413</v>
      </c>
      <c r="C8" s="107"/>
      <c r="D8" s="116"/>
      <c r="E8" s="107"/>
      <c r="F8" s="108"/>
      <c r="H8" s="109"/>
      <c r="I8" s="113" t="str">
        <f>CO2データ!D108</f>
        <v>中部電力(株)</v>
      </c>
      <c r="J8" s="114">
        <f>CO2データ!I108</f>
        <v>4.9700000000000005E-4</v>
      </c>
      <c r="K8" s="109"/>
      <c r="L8" s="113" t="str">
        <f>CO2データ!D147</f>
        <v>(株)日本セレモニー</v>
      </c>
      <c r="M8" s="114">
        <f>CO2データ!I147</f>
        <v>6.0999999999999997E-4</v>
      </c>
      <c r="N8" s="115"/>
    </row>
    <row r="9" spans="2:31">
      <c r="B9" s="105"/>
      <c r="C9" s="106" t="s">
        <v>1762</v>
      </c>
      <c r="D9" s="117" t="s">
        <v>2414</v>
      </c>
      <c r="E9" s="116"/>
      <c r="F9" s="108"/>
      <c r="H9" s="109"/>
      <c r="I9" s="113" t="str">
        <f>CO2データ!D109</f>
        <v>北陸電力(株)</v>
      </c>
      <c r="J9" s="114">
        <f>CO2データ!I109</f>
        <v>6.4700000000000001E-4</v>
      </c>
      <c r="K9" s="109"/>
      <c r="L9" s="113" t="str">
        <f>CO2データ!D148</f>
        <v>(株)Ｖ－Ｐｏｗｅｒ</v>
      </c>
      <c r="M9" s="114">
        <f>CO2データ!I148</f>
        <v>2.5399999999999999E-4</v>
      </c>
      <c r="N9" s="115"/>
      <c r="Q9" t="s">
        <v>2415</v>
      </c>
    </row>
    <row r="10" spans="2:31" ht="16">
      <c r="B10" s="105"/>
      <c r="C10" s="118"/>
      <c r="D10" s="119"/>
      <c r="E10" s="3027" t="s">
        <v>3499</v>
      </c>
      <c r="F10" s="108"/>
      <c r="H10" s="109"/>
      <c r="I10" s="113" t="str">
        <f>CO2データ!D110</f>
        <v>関西電力(株)</v>
      </c>
      <c r="J10" s="114">
        <f>CO2データ!I110</f>
        <v>5.31E-4</v>
      </c>
      <c r="K10" s="109"/>
      <c r="L10" s="113" t="str">
        <f>CO2データ!D149</f>
        <v>(株)フォレストパワー</v>
      </c>
      <c r="M10" s="114">
        <f>CO2データ!I149</f>
        <v>1.9000000000000001E-4</v>
      </c>
      <c r="N10" s="115"/>
    </row>
    <row r="11" spans="2:31">
      <c r="B11" s="105"/>
      <c r="C11" s="107"/>
      <c r="D11" s="107"/>
      <c r="E11" s="107"/>
      <c r="F11" s="108"/>
      <c r="H11" s="109"/>
      <c r="I11" s="113" t="str">
        <f>CO2データ!D111</f>
        <v>中国電力(株)</v>
      </c>
      <c r="J11" s="114">
        <f>CO2データ!I111</f>
        <v>7.0600000000000003E-4</v>
      </c>
      <c r="K11" s="109"/>
      <c r="L11" s="113" t="str">
        <f>CO2データ!D150</f>
        <v>(株)ベイサイドエナジー</v>
      </c>
      <c r="M11" s="114">
        <f>CO2データ!I150</f>
        <v>5.8100000000000003E-4</v>
      </c>
      <c r="N11" s="115"/>
    </row>
    <row r="12" spans="2:31">
      <c r="B12" s="105" t="s">
        <v>363</v>
      </c>
      <c r="C12" s="107"/>
      <c r="D12" s="107"/>
      <c r="E12" s="107"/>
      <c r="F12" s="108"/>
      <c r="H12" s="109"/>
      <c r="I12" s="113" t="str">
        <f>CO2データ!D112</f>
        <v>四国電力(株)</v>
      </c>
      <c r="J12" s="114">
        <f>CO2データ!I112</f>
        <v>6.7599999999999995E-4</v>
      </c>
      <c r="K12" s="109"/>
      <c r="L12" s="113" t="str">
        <f>CO2データ!D151</f>
        <v>京葉瓦斯(株)</v>
      </c>
      <c r="M12" s="114">
        <f>CO2データ!I151</f>
        <v>4.9399999999999997E-4</v>
      </c>
      <c r="N12" s="115"/>
    </row>
    <row r="13" spans="2:31">
      <c r="B13" s="120" t="s">
        <v>2416</v>
      </c>
      <c r="C13" s="3136" t="s">
        <v>3149</v>
      </c>
      <c r="D13" s="3137"/>
      <c r="E13" s="3137"/>
      <c r="F13" s="108"/>
      <c r="H13" s="109"/>
      <c r="I13" s="113" t="str">
        <f>CO2データ!D113</f>
        <v>九州電力(株)</v>
      </c>
      <c r="J13" s="114">
        <f>CO2データ!I113</f>
        <v>5.8399999999999999E-4</v>
      </c>
      <c r="K13" s="109"/>
      <c r="L13" s="113" t="str">
        <f>CO2データ!D152</f>
        <v>サミットエナジー(株)</v>
      </c>
      <c r="M13" s="114">
        <f>CO2データ!I152</f>
        <v>4.1300000000000001E-4</v>
      </c>
      <c r="N13" s="115"/>
    </row>
    <row r="14" spans="2:31">
      <c r="B14" s="120"/>
      <c r="C14" s="3137"/>
      <c r="D14" s="3137"/>
      <c r="E14" s="3137"/>
      <c r="F14" s="108"/>
      <c r="H14" s="109"/>
      <c r="I14" s="113" t="str">
        <f>CO2データ!D114</f>
        <v>沖縄電力(株)</v>
      </c>
      <c r="J14" s="114">
        <f>CO2データ!I114</f>
        <v>8.1599999999999999E-4</v>
      </c>
      <c r="K14" s="109"/>
      <c r="L14" s="113" t="str">
        <f>CO2データ!D153</f>
        <v>ＪＸ日鉱日石エネルギー(株)</v>
      </c>
      <c r="M14" s="114">
        <f>CO2データ!I153</f>
        <v>3.2499999999999999E-4</v>
      </c>
      <c r="N14" s="115"/>
    </row>
    <row r="15" spans="2:31">
      <c r="B15" s="105"/>
      <c r="C15" s="106" t="s">
        <v>364</v>
      </c>
      <c r="D15" s="117" t="s">
        <v>2417</v>
      </c>
      <c r="E15" s="116"/>
      <c r="F15" s="108"/>
      <c r="H15" s="109"/>
      <c r="I15" s="113" t="str">
        <f>CO2データ!D115</f>
        <v>アーバンエナジー(株)</v>
      </c>
      <c r="J15" s="114">
        <f>CO2データ!I115</f>
        <v>4.0999999999999999E-4</v>
      </c>
      <c r="K15" s="109"/>
      <c r="L15" s="113" t="str">
        <f>CO2データ!D154</f>
        <v>ＪＬエナジー(株)</v>
      </c>
      <c r="M15" s="114">
        <f>CO2データ!I154</f>
        <v>5.53E-4</v>
      </c>
      <c r="N15" s="115"/>
    </row>
    <row r="16" spans="2:31" ht="16">
      <c r="B16" s="105"/>
      <c r="C16" s="119" t="s">
        <v>3071</v>
      </c>
      <c r="D16" s="123">
        <f>VLOOKUP(C16,C89:D166,2)</f>
        <v>5.0500000000000002E-4</v>
      </c>
      <c r="E16" s="3027" t="s">
        <v>3499</v>
      </c>
      <c r="F16" s="108"/>
      <c r="H16" s="109"/>
      <c r="I16" s="113" t="str">
        <f>CO2データ!D116</f>
        <v>アストモスエネルギー(株)</v>
      </c>
      <c r="J16" s="114">
        <f>CO2データ!I116</f>
        <v>1.9000000000000001E-4</v>
      </c>
      <c r="K16" s="109"/>
      <c r="L16" s="113" t="str">
        <f>CO2データ!D155</f>
        <v>志賀高原リゾート開発(株)</v>
      </c>
      <c r="M16" s="114">
        <f>CO2データ!I155</f>
        <v>3.6000000000000001E-5</v>
      </c>
      <c r="N16" s="115"/>
    </row>
    <row r="17" spans="2:14" ht="15" customHeight="1">
      <c r="B17" s="105"/>
      <c r="C17" s="121"/>
      <c r="D17" s="121"/>
      <c r="E17" s="121"/>
      <c r="F17" s="108"/>
      <c r="H17" s="109"/>
      <c r="I17" s="113" t="str">
        <f>CO2データ!D117</f>
        <v>イーレックス(株)</v>
      </c>
      <c r="J17" s="114">
        <f>CO2データ!I117</f>
        <v>6.6200000000000005E-4</v>
      </c>
      <c r="K17" s="109"/>
      <c r="L17" s="113" t="str">
        <f>CO2データ!D156</f>
        <v>シナネン(株)</v>
      </c>
      <c r="M17" s="114">
        <f>CO2データ!I156</f>
        <v>4.1599999999999997E-4</v>
      </c>
      <c r="N17" s="115"/>
    </row>
    <row r="18" spans="2:14" ht="15" customHeight="1">
      <c r="B18" s="120" t="s">
        <v>2418</v>
      </c>
      <c r="C18" s="107" t="s">
        <v>365</v>
      </c>
      <c r="D18" s="116"/>
      <c r="E18" s="107"/>
      <c r="F18" s="108"/>
      <c r="H18" s="109"/>
      <c r="I18" s="113" t="str">
        <f>CO2データ!D118</f>
        <v>（一財）中之条電力</v>
      </c>
      <c r="J18" s="114">
        <f>CO2データ!I118</f>
        <v>3.1599999999999998E-4</v>
      </c>
      <c r="K18" s="109"/>
      <c r="L18" s="113" t="str">
        <f>CO2データ!D157</f>
        <v>昭和シェル石油(株)</v>
      </c>
      <c r="M18" s="114">
        <f>CO2データ!I157</f>
        <v>3.7199999999999999E-4</v>
      </c>
      <c r="N18" s="115"/>
    </row>
    <row r="19" spans="2:14" ht="15" customHeight="1">
      <c r="B19" s="105"/>
      <c r="C19" s="106" t="s">
        <v>1762</v>
      </c>
      <c r="D19" s="117" t="s">
        <v>2414</v>
      </c>
      <c r="E19" s="116"/>
      <c r="F19" s="108"/>
      <c r="H19" s="109"/>
      <c r="I19" s="113" t="str">
        <f>CO2データ!D119</f>
        <v>（一社）電力託送代行機構</v>
      </c>
      <c r="J19" s="114">
        <f>CO2データ!I119</f>
        <v>3.1599999999999998E-4</v>
      </c>
      <c r="K19" s="109"/>
      <c r="L19" s="113" t="str">
        <f>CO2データ!D158</f>
        <v>新日鉄住金エンジニアリング(株)</v>
      </c>
      <c r="M19" s="114">
        <f>CO2データ!I158</f>
        <v>5.5999999999999995E-4</v>
      </c>
      <c r="N19" s="115"/>
    </row>
    <row r="20" spans="2:14" ht="15" customHeight="1">
      <c r="B20" s="105"/>
      <c r="C20" s="118"/>
      <c r="D20" s="119"/>
      <c r="E20" s="3027" t="s">
        <v>3499</v>
      </c>
      <c r="F20" s="108"/>
      <c r="H20" s="109"/>
      <c r="I20" s="113" t="str">
        <f>CO2データ!D120</f>
        <v>出光グリーンパワー(株)</v>
      </c>
      <c r="J20" s="114">
        <f>CO2データ!I120</f>
        <v>2.5300000000000002E-4</v>
      </c>
      <c r="K20" s="109"/>
      <c r="L20" s="113" t="str">
        <f>CO2データ!D159</f>
        <v>鈴与商事(株)</v>
      </c>
      <c r="M20" s="114">
        <f>CO2データ!I159</f>
        <v>4.8799999999999999E-4</v>
      </c>
      <c r="N20" s="115"/>
    </row>
    <row r="21" spans="2:14" ht="15" customHeight="1">
      <c r="B21" s="105"/>
      <c r="C21" s="121"/>
      <c r="D21" s="121"/>
      <c r="E21" s="121"/>
      <c r="F21" s="108"/>
      <c r="H21" s="109"/>
      <c r="I21" s="113" t="str">
        <f>CO2データ!D121</f>
        <v>伊藤忠エネクス(株)</v>
      </c>
      <c r="J21" s="114">
        <f>CO2データ!I121</f>
        <v>5.6800000000000004E-4</v>
      </c>
      <c r="K21" s="109"/>
      <c r="L21" s="113" t="str">
        <f>CO2データ!D160</f>
        <v>泉北天然ガス発電(株)</v>
      </c>
      <c r="M21" s="114">
        <f>CO2データ!I160</f>
        <v>3.2899999999999997E-4</v>
      </c>
      <c r="N21" s="115"/>
    </row>
    <row r="22" spans="2:14" ht="15" customHeight="1">
      <c r="B22" s="120" t="s">
        <v>2419</v>
      </c>
      <c r="C22" s="107" t="s">
        <v>2420</v>
      </c>
      <c r="D22" s="107"/>
      <c r="E22" s="107"/>
      <c r="F22" s="108"/>
      <c r="H22" s="109"/>
      <c r="I22" s="113" t="str">
        <f>CO2データ!D122</f>
        <v>ＳＢパワー(株)</v>
      </c>
      <c r="J22" s="114">
        <f>CO2データ!I122</f>
        <v>2.5900000000000001E-4</v>
      </c>
      <c r="K22" s="109"/>
      <c r="L22" s="113" t="str">
        <f>CO2データ!D161</f>
        <v>総合エネルギー(株)</v>
      </c>
      <c r="M22" s="114">
        <f>CO2データ!I161</f>
        <v>6.3599999999999996E-4</v>
      </c>
      <c r="N22" s="115"/>
    </row>
    <row r="23" spans="2:14" ht="15" customHeight="1">
      <c r="B23" s="120"/>
      <c r="C23" s="106" t="s">
        <v>222</v>
      </c>
      <c r="D23" s="117" t="s">
        <v>1766</v>
      </c>
      <c r="E23" s="107"/>
      <c r="F23" s="108"/>
      <c r="H23" s="109"/>
      <c r="I23" s="113" t="str">
        <f>CO2データ!D123</f>
        <v>エネサーブ(株)</v>
      </c>
      <c r="J23" s="114">
        <f>CO2データ!I123</f>
        <v>6.3400000000000001E-4</v>
      </c>
      <c r="K23" s="109"/>
      <c r="L23" s="113" t="str">
        <f>CO2データ!D162</f>
        <v>大東エナジー(株)</v>
      </c>
      <c r="M23" s="114">
        <f>CO2データ!I162</f>
        <v>5.6599999999999999E-4</v>
      </c>
      <c r="N23" s="115"/>
    </row>
    <row r="24" spans="2:14" ht="15" customHeight="1">
      <c r="B24" s="105"/>
      <c r="C24" s="122" t="s">
        <v>221</v>
      </c>
      <c r="D24" s="123" t="str">
        <f>IF($Q$3=4,J85,"")</f>
        <v/>
      </c>
      <c r="E24" s="3027" t="s">
        <v>3499</v>
      </c>
      <c r="F24" s="108"/>
      <c r="H24" s="109"/>
      <c r="I24" s="113" t="str">
        <f>CO2データ!D124</f>
        <v>荏原環境プラント(株)</v>
      </c>
      <c r="J24" s="114">
        <f>CO2データ!I124</f>
        <v>2.6600000000000001E-4</v>
      </c>
      <c r="K24" s="109"/>
      <c r="L24" s="113" t="str">
        <f>CO2データ!D163</f>
        <v>ダイヤモンドパワー(株)</v>
      </c>
      <c r="M24" s="114">
        <f>CO2データ!I163</f>
        <v>3.39E-4</v>
      </c>
      <c r="N24" s="115"/>
    </row>
    <row r="25" spans="2:14" ht="15" customHeight="1">
      <c r="B25" s="105"/>
      <c r="C25" s="107"/>
      <c r="D25" s="107"/>
      <c r="E25" s="107"/>
      <c r="F25" s="108"/>
      <c r="H25" s="109"/>
      <c r="I25" s="113" t="str">
        <f>CO2データ!D125</f>
        <v>王子製紙(株)</v>
      </c>
      <c r="J25" s="114">
        <f>CO2データ!I125</f>
        <v>4.3800000000000002E-4</v>
      </c>
      <c r="K25" s="109"/>
      <c r="L25" s="113" t="str">
        <f>CO2データ!D164</f>
        <v>大和ハウス工業(株)</v>
      </c>
      <c r="M25" s="114">
        <f>CO2データ!I164</f>
        <v>5.1900000000000004E-4</v>
      </c>
      <c r="N25" s="115"/>
    </row>
    <row r="26" spans="2:14" ht="15" customHeight="1">
      <c r="B26" s="105" t="s">
        <v>2421</v>
      </c>
      <c r="C26" s="107"/>
      <c r="D26" s="116"/>
      <c r="E26" s="107"/>
      <c r="F26" s="108"/>
      <c r="H26" s="109"/>
      <c r="I26" s="113" t="str">
        <f>CO2データ!D126</f>
        <v>オリックス(株)</v>
      </c>
      <c r="J26" s="114">
        <f>CO2データ!I126</f>
        <v>4.9799999999999996E-4</v>
      </c>
      <c r="K26" s="109"/>
      <c r="L26" s="113" t="str">
        <f>CO2データ!D165</f>
        <v>中央電力エナジー(株)</v>
      </c>
      <c r="M26" s="114">
        <f>CO2データ!I165</f>
        <v>5.5999999999999995E-4</v>
      </c>
      <c r="N26" s="115"/>
    </row>
    <row r="27" spans="2:14" ht="15" customHeight="1">
      <c r="B27" s="105"/>
      <c r="C27" s="106" t="s">
        <v>1762</v>
      </c>
      <c r="D27" s="117" t="s">
        <v>2414</v>
      </c>
      <c r="E27" s="116"/>
      <c r="F27" s="108"/>
      <c r="H27" s="109"/>
      <c r="I27" s="113" t="str">
        <f>CO2データ!D127</f>
        <v>(株)イーセル</v>
      </c>
      <c r="J27" s="114">
        <f>CO2データ!I127</f>
        <v>5.1099999999999995E-4</v>
      </c>
      <c r="K27" s="109"/>
      <c r="L27" s="113" t="str">
        <f>CO2データ!D166</f>
        <v>テス・エンジニアリング(株)</v>
      </c>
      <c r="M27" s="114">
        <f>CO2データ!I166</f>
        <v>5.9900000000000003E-4</v>
      </c>
      <c r="N27" s="115"/>
    </row>
    <row r="28" spans="2:14" ht="15" customHeight="1">
      <c r="B28" s="105"/>
      <c r="C28" s="118"/>
      <c r="D28" s="119"/>
      <c r="E28" s="3027" t="s">
        <v>3499</v>
      </c>
      <c r="F28" s="108"/>
      <c r="H28" s="109"/>
      <c r="I28" s="113" t="str">
        <f>CO2データ!D128</f>
        <v>(株)岩手ウッドパワー</v>
      </c>
      <c r="J28" s="114">
        <f>CO2データ!I128</f>
        <v>4.3999999999999999E-5</v>
      </c>
      <c r="K28" s="109"/>
      <c r="L28" s="113" t="str">
        <f>CO2データ!D167</f>
        <v>テプコカスタマーサービス(株)</v>
      </c>
      <c r="M28" s="114">
        <f>CO2データ!I167</f>
        <v>4.8700000000000002E-4</v>
      </c>
      <c r="N28" s="115"/>
    </row>
    <row r="29" spans="2:14" ht="15" customHeight="1">
      <c r="B29" s="105"/>
      <c r="C29" s="107"/>
      <c r="D29" s="107"/>
      <c r="E29" s="107"/>
      <c r="F29" s="108"/>
      <c r="H29" s="109"/>
      <c r="I29" s="113" t="str">
        <f>CO2データ!D129</f>
        <v>(株)うなかみの大地</v>
      </c>
      <c r="J29" s="114">
        <f>CO2データ!I129</f>
        <v>1.06E-4</v>
      </c>
      <c r="K29" s="109"/>
      <c r="L29" s="113" t="str">
        <f>CO2データ!D168</f>
        <v>東京エコサービス(株)</v>
      </c>
      <c r="M29" s="114">
        <f>CO2データ!I168</f>
        <v>7.1000000000000005E-5</v>
      </c>
      <c r="N29" s="115"/>
    </row>
    <row r="30" spans="2:14" ht="15" customHeight="1">
      <c r="B30" s="105"/>
      <c r="C30" s="107"/>
      <c r="D30" s="107"/>
      <c r="E30" s="107"/>
      <c r="F30" s="108"/>
      <c r="H30" s="109"/>
      <c r="I30" s="113" t="str">
        <f>CO2データ!D130</f>
        <v>(株)ＳＥウイングズ</v>
      </c>
      <c r="J30" s="114">
        <f>CO2データ!I130</f>
        <v>4.6200000000000001E-4</v>
      </c>
      <c r="K30" s="109"/>
      <c r="L30" s="113" t="str">
        <f>CO2データ!D169</f>
        <v>にちほクラウド電力(株)</v>
      </c>
      <c r="M30" s="114">
        <f>CO2データ!I169</f>
        <v>5.3899999999999998E-4</v>
      </c>
      <c r="N30" s="115"/>
    </row>
    <row r="31" spans="2:14" ht="15" customHeight="1">
      <c r="B31" s="105"/>
      <c r="C31" s="107"/>
      <c r="D31" s="107"/>
      <c r="E31" s="107"/>
      <c r="F31" s="108"/>
      <c r="H31" s="109"/>
      <c r="I31" s="113" t="str">
        <f>CO2データ!D131</f>
        <v>(株)エヌパワー</v>
      </c>
      <c r="J31" s="114">
        <f>CO2データ!I131</f>
        <v>4.15E-4</v>
      </c>
      <c r="K31" s="109"/>
      <c r="L31" s="113" t="str">
        <f>CO2データ!D170</f>
        <v>日産トレーデイング(株)</v>
      </c>
      <c r="M31" s="114">
        <f>CO2データ!I170</f>
        <v>3.6499999999999998E-4</v>
      </c>
      <c r="N31" s="115"/>
    </row>
    <row r="32" spans="2:14" ht="15" customHeight="1">
      <c r="B32" s="105"/>
      <c r="C32" s="107"/>
      <c r="D32" s="107"/>
      <c r="E32" s="107"/>
      <c r="F32" s="108"/>
      <c r="H32" s="109"/>
      <c r="I32" s="113" t="str">
        <f>CO2データ!D132</f>
        <v>(株)エネット</v>
      </c>
      <c r="J32" s="114">
        <f>CO2データ!I132</f>
        <v>4.5399999999999998E-4</v>
      </c>
      <c r="K32" s="109"/>
      <c r="L32" s="113" t="str">
        <f>CO2データ!D171</f>
        <v>日本アルファ電力(株)</v>
      </c>
      <c r="M32" s="114">
        <f>CO2データ!I171</f>
        <v>0</v>
      </c>
      <c r="N32" s="115"/>
    </row>
    <row r="33" spans="2:14" ht="15" customHeight="1">
      <c r="B33" s="105"/>
      <c r="C33" s="107"/>
      <c r="D33" s="107"/>
      <c r="E33" s="107"/>
      <c r="F33" s="108"/>
      <c r="H33" s="109"/>
      <c r="I33" s="113" t="str">
        <f>CO2データ!D133</f>
        <v>(株)Ｆ－Ｐｏｗｅｒ</v>
      </c>
      <c r="J33" s="114">
        <f>CO2データ!I133</f>
        <v>4.5399999999999998E-4</v>
      </c>
      <c r="K33" s="109"/>
      <c r="L33" s="113" t="str">
        <f>CO2データ!D172</f>
        <v>日本テクノ(株)</v>
      </c>
      <c r="M33" s="114">
        <f>CO2データ!I172</f>
        <v>5.3200000000000003E-4</v>
      </c>
      <c r="N33" s="115"/>
    </row>
    <row r="34" spans="2:14" ht="15" customHeight="1">
      <c r="B34" s="105"/>
      <c r="C34" s="107"/>
      <c r="D34" s="107"/>
      <c r="E34" s="107"/>
      <c r="F34" s="108"/>
      <c r="H34" s="109"/>
      <c r="I34" s="113" t="str">
        <f>CO2データ!D134</f>
        <v>(株)関電エネルギーソリューション</v>
      </c>
      <c r="J34" s="114">
        <f>CO2データ!I134</f>
        <v>5.4100000000000003E-4</v>
      </c>
      <c r="K34" s="109"/>
      <c r="L34" s="113" t="str">
        <f>CO2データ!D173</f>
        <v>日本ロジテック協同組合</v>
      </c>
      <c r="M34" s="114">
        <f>CO2データ!I173</f>
        <v>3.86E-4</v>
      </c>
      <c r="N34" s="115"/>
    </row>
    <row r="35" spans="2:14" ht="15" customHeight="1">
      <c r="B35" s="105"/>
      <c r="C35" s="107"/>
      <c r="D35" s="107"/>
      <c r="E35" s="107"/>
      <c r="F35" s="108"/>
      <c r="H35" s="109"/>
      <c r="I35" s="113" t="str">
        <f>CO2データ!D135</f>
        <v>(株)クールトラスト</v>
      </c>
      <c r="J35" s="114">
        <f>CO2データ!I135</f>
        <v>4.9200000000000003E-4</v>
      </c>
      <c r="K35" s="109"/>
      <c r="L35" s="113" t="str">
        <f>CO2データ!D174</f>
        <v>パナソニック(株)</v>
      </c>
      <c r="M35" s="114">
        <f>CO2データ!I174</f>
        <v>6.2200000000000005E-4</v>
      </c>
      <c r="N35" s="115"/>
    </row>
    <row r="36" spans="2:14" ht="15" customHeight="1">
      <c r="B36" s="105"/>
      <c r="C36" s="107"/>
      <c r="D36" s="107"/>
      <c r="E36" s="107"/>
      <c r="F36" s="108"/>
      <c r="H36" s="109"/>
      <c r="I36" s="113" t="str">
        <f>CO2データ!D136</f>
        <v>(株)グローバルエンジニアリング</v>
      </c>
      <c r="J36" s="114">
        <f>CO2データ!I136</f>
        <v>4.7199999999999998E-4</v>
      </c>
      <c r="K36" s="109"/>
      <c r="L36" s="113" t="str">
        <f>CO2データ!D175</f>
        <v>プレミアムグリーンパワー(株)</v>
      </c>
      <c r="M36" s="114">
        <f>CO2データ!I175</f>
        <v>1.1E-5</v>
      </c>
      <c r="N36" s="115"/>
    </row>
    <row r="37" spans="2:14" ht="15" customHeight="1">
      <c r="B37" s="105"/>
      <c r="C37" s="107"/>
      <c r="D37" s="107"/>
      <c r="E37" s="107"/>
      <c r="F37" s="108"/>
      <c r="H37" s="109"/>
      <c r="I37" s="113" t="str">
        <f>CO2データ!D137</f>
        <v>(株)ケーキュービック</v>
      </c>
      <c r="J37" s="114">
        <f>CO2データ!I137</f>
        <v>1.5300000000000001E-4</v>
      </c>
      <c r="K37" s="109"/>
      <c r="L37" s="113" t="str">
        <f>CO2データ!D176</f>
        <v>本田技研工業(株)</v>
      </c>
      <c r="M37" s="114">
        <f>CO2データ!I176</f>
        <v>5.8E-4</v>
      </c>
      <c r="N37" s="115"/>
    </row>
    <row r="38" spans="2:14" ht="15" customHeight="1">
      <c r="B38" s="105"/>
      <c r="C38" s="107"/>
      <c r="D38" s="107"/>
      <c r="E38" s="107"/>
      <c r="F38" s="108"/>
      <c r="H38" s="109"/>
      <c r="I38" s="113" t="str">
        <f>CO2データ!D138</f>
        <v>(株)洸陽電機</v>
      </c>
      <c r="J38" s="114">
        <f>CO2データ!I138</f>
        <v>3.48E-4</v>
      </c>
      <c r="K38" s="109"/>
      <c r="L38" s="113" t="str">
        <f>CO2データ!D177</f>
        <v>丸紅(株)</v>
      </c>
      <c r="M38" s="114">
        <f>CO2データ!I177</f>
        <v>4.8200000000000001E-4</v>
      </c>
      <c r="N38" s="115"/>
    </row>
    <row r="39" spans="2:14" ht="15" customHeight="1">
      <c r="B39" s="105"/>
      <c r="C39" s="107"/>
      <c r="D39" s="107"/>
      <c r="E39" s="107"/>
      <c r="F39" s="108"/>
      <c r="H39" s="109"/>
      <c r="I39" s="113" t="str">
        <f>CO2データ!D139</f>
        <v>(株)サイサン</v>
      </c>
      <c r="J39" s="114">
        <f>CO2データ!I139</f>
        <v>3.7300000000000001E-4</v>
      </c>
      <c r="K39" s="109"/>
      <c r="L39" s="113" t="str">
        <f>CO2データ!D178</f>
        <v>ミサワホーム(株)</v>
      </c>
      <c r="M39" s="114">
        <f>CO2データ!I178</f>
        <v>3.1100000000000002E-4</v>
      </c>
      <c r="N39" s="115"/>
    </row>
    <row r="40" spans="2:14" ht="15" customHeight="1">
      <c r="B40" s="105"/>
      <c r="C40" s="107"/>
      <c r="D40" s="107"/>
      <c r="E40" s="107"/>
      <c r="F40" s="108"/>
      <c r="H40" s="109"/>
      <c r="I40" s="113" t="str">
        <f>CO2データ!D140</f>
        <v>(株)サニックス</v>
      </c>
      <c r="J40" s="114">
        <f>CO2データ!I140</f>
        <v>9.0000000000000002E-6</v>
      </c>
      <c r="K40" s="109"/>
      <c r="L40" s="113" t="str">
        <f>CO2データ!D179</f>
        <v>三井物産(株)</v>
      </c>
      <c r="M40" s="114">
        <f>CO2データ!I179</f>
        <v>0</v>
      </c>
      <c r="N40" s="115"/>
    </row>
    <row r="41" spans="2:14" ht="15" customHeight="1">
      <c r="B41" s="105"/>
      <c r="C41" s="107"/>
      <c r="D41" s="107"/>
      <c r="E41" s="107"/>
      <c r="F41" s="108"/>
      <c r="H41" s="109"/>
      <c r="I41" s="113" t="str">
        <f>CO2データ!D141</f>
        <v>(株)ＣＮＯパワーソリューションズ</v>
      </c>
      <c r="J41" s="114">
        <f>CO2データ!I141</f>
        <v>5.3700000000000004E-4</v>
      </c>
      <c r="K41" s="109"/>
      <c r="L41" s="113" t="str">
        <f>CO2データ!D180</f>
        <v>ミツウロコグリーンエネルギー(株)</v>
      </c>
      <c r="M41" s="114">
        <f>CO2データ!I180</f>
        <v>4.66E-4</v>
      </c>
      <c r="N41" s="115"/>
    </row>
    <row r="42" spans="2:14" ht="15" customHeight="1">
      <c r="B42" s="105"/>
      <c r="C42" s="107"/>
      <c r="D42" s="107"/>
      <c r="E42" s="107"/>
      <c r="F42" s="108"/>
      <c r="H42" s="109"/>
      <c r="I42" s="113" t="str">
        <f>CO2データ!D142</f>
        <v>(株)Ｇ－Ｐｏｗｅｒ</v>
      </c>
      <c r="J42" s="114">
        <f>CO2データ!I142</f>
        <v>1.7000000000000001E-4</v>
      </c>
      <c r="K42" s="109"/>
      <c r="L42" s="113" t="str">
        <f>CO2データ!D181</f>
        <v>リエスパワー(株)</v>
      </c>
      <c r="M42" s="114">
        <f>CO2データ!I181</f>
        <v>5.8200000000000005E-4</v>
      </c>
      <c r="N42" s="115"/>
    </row>
    <row r="43" spans="2:14" ht="15" customHeight="1">
      <c r="B43" s="105"/>
      <c r="C43" s="107"/>
      <c r="D43" s="107"/>
      <c r="E43" s="107"/>
      <c r="F43" s="108"/>
      <c r="H43" s="109"/>
      <c r="I43" s="113" t="str">
        <f>CO2データ!D143</f>
        <v>(株)新出光</v>
      </c>
      <c r="J43" s="114">
        <f>CO2データ!I143</f>
        <v>4.8700000000000002E-4</v>
      </c>
      <c r="K43" s="109"/>
      <c r="L43" s="113" t="str">
        <f>CO2データ!D182</f>
        <v>ワタミファーム＆エナジー(株)</v>
      </c>
      <c r="M43" s="114">
        <f>CO2データ!I182</f>
        <v>4.5399999999999998E-4</v>
      </c>
      <c r="N43" s="115"/>
    </row>
    <row r="44" spans="2:14" s="2417" customFormat="1" ht="15" hidden="1" customHeight="1">
      <c r="B44" s="105"/>
      <c r="C44" s="107"/>
      <c r="D44" s="107"/>
      <c r="E44" s="107"/>
      <c r="F44" s="108"/>
      <c r="H44" s="109"/>
      <c r="I44" s="113" t="str">
        <f>CO2データ!D144</f>
        <v>(株)トヨタタービンアンドシステム</v>
      </c>
      <c r="J44" s="114">
        <f>CO2データ!I144</f>
        <v>4.9200000000000003E-4</v>
      </c>
      <c r="K44" s="107"/>
      <c r="L44" s="100"/>
      <c r="M44" s="2467"/>
      <c r="N44" s="115"/>
    </row>
    <row r="45" spans="2:14" s="2417" customFormat="1" ht="15" hidden="1" customHeight="1">
      <c r="B45" s="105"/>
      <c r="C45" s="107"/>
      <c r="D45" s="107"/>
      <c r="E45" s="107"/>
      <c r="F45" s="108"/>
      <c r="H45" s="109"/>
      <c r="I45" s="113" t="str">
        <f>CO2データ!D145</f>
        <v>(株)とんでん</v>
      </c>
      <c r="J45" s="114">
        <f>CO2データ!I145</f>
        <v>4.95E-4</v>
      </c>
      <c r="K45" s="107"/>
      <c r="L45" s="100"/>
      <c r="M45" s="2467"/>
      <c r="N45" s="115"/>
    </row>
    <row r="46" spans="2:14" s="2417" customFormat="1" ht="15" hidden="1" customHeight="1">
      <c r="B46" s="105"/>
      <c r="C46" s="107"/>
      <c r="D46" s="107"/>
      <c r="E46" s="107"/>
      <c r="F46" s="108"/>
      <c r="H46" s="109"/>
      <c r="I46" s="113" t="str">
        <f>CO2データ!D146</f>
        <v>(株)ナンワエナジー</v>
      </c>
      <c r="J46" s="114">
        <f>CO2データ!I146</f>
        <v>6.02E-4</v>
      </c>
      <c r="K46" s="107"/>
      <c r="L46" s="100"/>
      <c r="M46" s="2467"/>
      <c r="N46" s="115"/>
    </row>
    <row r="47" spans="2:14" s="2417" customFormat="1" ht="15" hidden="1" customHeight="1">
      <c r="B47" s="105"/>
      <c r="C47" s="107"/>
      <c r="D47" s="107"/>
      <c r="E47" s="107"/>
      <c r="F47" s="108"/>
      <c r="H47" s="109"/>
      <c r="I47" s="113" t="str">
        <f>CO2データ!D147</f>
        <v>(株)日本セレモニー</v>
      </c>
      <c r="J47" s="114">
        <f>CO2データ!I147</f>
        <v>6.0999999999999997E-4</v>
      </c>
      <c r="K47" s="107"/>
      <c r="L47" s="100"/>
      <c r="M47" s="2467"/>
      <c r="N47" s="115"/>
    </row>
    <row r="48" spans="2:14" s="2417" customFormat="1" ht="15" hidden="1" customHeight="1">
      <c r="B48" s="105"/>
      <c r="C48" s="107"/>
      <c r="D48" s="107"/>
      <c r="E48" s="107"/>
      <c r="F48" s="108"/>
      <c r="H48" s="109"/>
      <c r="I48" s="113" t="str">
        <f>CO2データ!D148</f>
        <v>(株)Ｖ－Ｐｏｗｅｒ</v>
      </c>
      <c r="J48" s="114">
        <f>CO2データ!I148</f>
        <v>2.5399999999999999E-4</v>
      </c>
      <c r="K48" s="107"/>
      <c r="L48" s="100"/>
      <c r="M48" s="2467"/>
      <c r="N48" s="115"/>
    </row>
    <row r="49" spans="2:14" s="2417" customFormat="1" ht="15" hidden="1" customHeight="1">
      <c r="B49" s="105"/>
      <c r="C49" s="107"/>
      <c r="D49" s="107"/>
      <c r="E49" s="107"/>
      <c r="F49" s="108"/>
      <c r="H49" s="109"/>
      <c r="I49" s="113" t="str">
        <f>CO2データ!D149</f>
        <v>(株)フォレストパワー</v>
      </c>
      <c r="J49" s="114">
        <f>CO2データ!I149</f>
        <v>1.9000000000000001E-4</v>
      </c>
      <c r="K49" s="107"/>
      <c r="L49" s="100"/>
      <c r="M49" s="2467"/>
      <c r="N49" s="115"/>
    </row>
    <row r="50" spans="2:14" s="2417" customFormat="1" ht="15" hidden="1" customHeight="1">
      <c r="B50" s="105"/>
      <c r="C50" s="107"/>
      <c r="D50" s="107"/>
      <c r="E50" s="107"/>
      <c r="F50" s="108"/>
      <c r="H50" s="109"/>
      <c r="I50" s="113" t="str">
        <f>CO2データ!D150</f>
        <v>(株)ベイサイドエナジー</v>
      </c>
      <c r="J50" s="114">
        <f>CO2データ!I150</f>
        <v>5.8100000000000003E-4</v>
      </c>
      <c r="K50" s="107"/>
      <c r="L50" s="100"/>
      <c r="M50" s="2467"/>
      <c r="N50" s="115"/>
    </row>
    <row r="51" spans="2:14" s="2417" customFormat="1" ht="15" hidden="1" customHeight="1">
      <c r="B51" s="105"/>
      <c r="C51" s="107"/>
      <c r="D51" s="107"/>
      <c r="E51" s="107"/>
      <c r="F51" s="108"/>
      <c r="H51" s="109"/>
      <c r="I51" s="113" t="str">
        <f>CO2データ!D151</f>
        <v>京葉瓦斯(株)</v>
      </c>
      <c r="J51" s="114">
        <f>CO2データ!I151</f>
        <v>4.9399999999999997E-4</v>
      </c>
      <c r="K51" s="107"/>
      <c r="L51" s="100"/>
      <c r="M51" s="2467"/>
      <c r="N51" s="115"/>
    </row>
    <row r="52" spans="2:14" s="2417" customFormat="1" ht="15" hidden="1" customHeight="1">
      <c r="B52" s="105"/>
      <c r="C52" s="107"/>
      <c r="D52" s="107"/>
      <c r="E52" s="107"/>
      <c r="F52" s="108"/>
      <c r="H52" s="109"/>
      <c r="I52" s="113" t="str">
        <f>CO2データ!D152</f>
        <v>サミットエナジー(株)</v>
      </c>
      <c r="J52" s="114">
        <f>CO2データ!I152</f>
        <v>4.1300000000000001E-4</v>
      </c>
      <c r="K52" s="107"/>
      <c r="L52" s="100"/>
      <c r="M52" s="2467"/>
      <c r="N52" s="115"/>
    </row>
    <row r="53" spans="2:14" s="2417" customFormat="1" ht="15" hidden="1" customHeight="1">
      <c r="B53" s="105"/>
      <c r="C53" s="107"/>
      <c r="D53" s="107"/>
      <c r="E53" s="107"/>
      <c r="F53" s="108"/>
      <c r="H53" s="109"/>
      <c r="I53" s="113" t="str">
        <f>CO2データ!D153</f>
        <v>ＪＸ日鉱日石エネルギー(株)</v>
      </c>
      <c r="J53" s="114">
        <f>CO2データ!I153</f>
        <v>3.2499999999999999E-4</v>
      </c>
      <c r="K53" s="107"/>
      <c r="L53" s="100"/>
      <c r="M53" s="2467"/>
      <c r="N53" s="115"/>
    </row>
    <row r="54" spans="2:14" s="2417" customFormat="1" ht="15" hidden="1" customHeight="1">
      <c r="B54" s="105"/>
      <c r="C54" s="107"/>
      <c r="D54" s="107"/>
      <c r="E54" s="107"/>
      <c r="F54" s="108"/>
      <c r="H54" s="109"/>
      <c r="I54" s="113" t="str">
        <f>CO2データ!D154</f>
        <v>ＪＬエナジー(株)</v>
      </c>
      <c r="J54" s="114">
        <f>CO2データ!I154</f>
        <v>5.53E-4</v>
      </c>
      <c r="K54" s="107"/>
      <c r="L54" s="100"/>
      <c r="M54" s="2467"/>
      <c r="N54" s="115"/>
    </row>
    <row r="55" spans="2:14" s="2417" customFormat="1" ht="15" hidden="1" customHeight="1">
      <c r="B55" s="105"/>
      <c r="C55" s="107"/>
      <c r="D55" s="107"/>
      <c r="E55" s="107"/>
      <c r="F55" s="108"/>
      <c r="H55" s="109"/>
      <c r="I55" s="113" t="str">
        <f>CO2データ!D155</f>
        <v>志賀高原リゾート開発(株)</v>
      </c>
      <c r="J55" s="114">
        <f>CO2データ!I155</f>
        <v>3.6000000000000001E-5</v>
      </c>
      <c r="K55" s="107"/>
      <c r="L55" s="100"/>
      <c r="M55" s="2467"/>
      <c r="N55" s="115"/>
    </row>
    <row r="56" spans="2:14" s="2417" customFormat="1" ht="15" hidden="1" customHeight="1">
      <c r="B56" s="105"/>
      <c r="C56" s="107"/>
      <c r="D56" s="107"/>
      <c r="E56" s="107"/>
      <c r="F56" s="108"/>
      <c r="H56" s="109"/>
      <c r="I56" s="113" t="str">
        <f>CO2データ!D156</f>
        <v>シナネン(株)</v>
      </c>
      <c r="J56" s="114">
        <f>CO2データ!I156</f>
        <v>4.1599999999999997E-4</v>
      </c>
      <c r="K56" s="107"/>
      <c r="L56" s="100"/>
      <c r="M56" s="2467"/>
      <c r="N56" s="115"/>
    </row>
    <row r="57" spans="2:14" s="2417" customFormat="1" ht="15" hidden="1" customHeight="1">
      <c r="B57" s="105"/>
      <c r="C57" s="107"/>
      <c r="D57" s="107"/>
      <c r="E57" s="107"/>
      <c r="F57" s="108"/>
      <c r="H57" s="109"/>
      <c r="I57" s="113" t="str">
        <f>CO2データ!D157</f>
        <v>昭和シェル石油(株)</v>
      </c>
      <c r="J57" s="114">
        <f>CO2データ!I157</f>
        <v>3.7199999999999999E-4</v>
      </c>
      <c r="K57" s="107"/>
      <c r="L57" s="100"/>
      <c r="M57" s="2467"/>
      <c r="N57" s="115"/>
    </row>
    <row r="58" spans="2:14" s="2417" customFormat="1" ht="15" hidden="1" customHeight="1">
      <c r="B58" s="105"/>
      <c r="C58" s="107"/>
      <c r="D58" s="107"/>
      <c r="E58" s="107"/>
      <c r="F58" s="108"/>
      <c r="H58" s="109"/>
      <c r="I58" s="113" t="str">
        <f>CO2データ!D158</f>
        <v>新日鉄住金エンジニアリング(株)</v>
      </c>
      <c r="J58" s="114">
        <f>CO2データ!I158</f>
        <v>5.5999999999999995E-4</v>
      </c>
      <c r="K58" s="107"/>
      <c r="L58" s="100"/>
      <c r="M58" s="2467"/>
      <c r="N58" s="115"/>
    </row>
    <row r="59" spans="2:14" s="2417" customFormat="1" ht="15" hidden="1" customHeight="1">
      <c r="B59" s="105"/>
      <c r="C59" s="107"/>
      <c r="D59" s="107"/>
      <c r="E59" s="107"/>
      <c r="F59" s="108"/>
      <c r="H59" s="109"/>
      <c r="I59" s="113" t="str">
        <f>CO2データ!D159</f>
        <v>鈴与商事(株)</v>
      </c>
      <c r="J59" s="114">
        <f>CO2データ!I159</f>
        <v>4.8799999999999999E-4</v>
      </c>
      <c r="K59" s="107"/>
      <c r="L59" s="100"/>
      <c r="M59" s="2467"/>
      <c r="N59" s="115"/>
    </row>
    <row r="60" spans="2:14" s="2417" customFormat="1" ht="15" hidden="1" customHeight="1">
      <c r="B60" s="105"/>
      <c r="C60" s="107"/>
      <c r="D60" s="107"/>
      <c r="E60" s="107"/>
      <c r="F60" s="108"/>
      <c r="H60" s="109"/>
      <c r="I60" s="113" t="str">
        <f>CO2データ!D160</f>
        <v>泉北天然ガス発電(株)</v>
      </c>
      <c r="J60" s="114">
        <f>CO2データ!I160</f>
        <v>3.2899999999999997E-4</v>
      </c>
      <c r="K60" s="107"/>
      <c r="L60" s="100"/>
      <c r="M60" s="2467"/>
      <c r="N60" s="115"/>
    </row>
    <row r="61" spans="2:14" s="2417" customFormat="1" ht="15" hidden="1" customHeight="1">
      <c r="B61" s="105"/>
      <c r="C61" s="107"/>
      <c r="D61" s="107"/>
      <c r="E61" s="107"/>
      <c r="F61" s="108"/>
      <c r="H61" s="109"/>
      <c r="I61" s="113" t="str">
        <f>CO2データ!D161</f>
        <v>総合エネルギー(株)</v>
      </c>
      <c r="J61" s="114">
        <f>CO2データ!I161</f>
        <v>6.3599999999999996E-4</v>
      </c>
      <c r="K61" s="107"/>
      <c r="L61" s="100"/>
      <c r="M61" s="2467"/>
      <c r="N61" s="115"/>
    </row>
    <row r="62" spans="2:14" s="2417" customFormat="1" ht="15" hidden="1" customHeight="1">
      <c r="B62" s="105"/>
      <c r="C62" s="107"/>
      <c r="D62" s="107"/>
      <c r="E62" s="107"/>
      <c r="F62" s="108"/>
      <c r="H62" s="109"/>
      <c r="I62" s="113" t="str">
        <f>CO2データ!D162</f>
        <v>大東エナジー(株)</v>
      </c>
      <c r="J62" s="114">
        <f>CO2データ!I162</f>
        <v>5.6599999999999999E-4</v>
      </c>
      <c r="K62" s="107"/>
      <c r="L62" s="100"/>
      <c r="M62" s="2467"/>
      <c r="N62" s="115"/>
    </row>
    <row r="63" spans="2:14" s="2417" customFormat="1" ht="15" hidden="1" customHeight="1">
      <c r="B63" s="105"/>
      <c r="C63" s="107"/>
      <c r="D63" s="107"/>
      <c r="E63" s="107"/>
      <c r="F63" s="108"/>
      <c r="H63" s="109"/>
      <c r="I63" s="113" t="str">
        <f>CO2データ!D163</f>
        <v>ダイヤモンドパワー(株)</v>
      </c>
      <c r="J63" s="114">
        <f>CO2データ!I163</f>
        <v>3.39E-4</v>
      </c>
      <c r="K63" s="107"/>
      <c r="L63" s="100"/>
      <c r="M63" s="2467"/>
      <c r="N63" s="115"/>
    </row>
    <row r="64" spans="2:14" s="2417" customFormat="1" ht="15" hidden="1" customHeight="1">
      <c r="B64" s="105"/>
      <c r="C64" s="107"/>
      <c r="D64" s="107"/>
      <c r="E64" s="107"/>
      <c r="F64" s="108"/>
      <c r="H64" s="109"/>
      <c r="I64" s="113" t="str">
        <f>CO2データ!D164</f>
        <v>大和ハウス工業(株)</v>
      </c>
      <c r="J64" s="114">
        <f>CO2データ!I164</f>
        <v>5.1900000000000004E-4</v>
      </c>
      <c r="K64" s="107"/>
      <c r="L64" s="100"/>
      <c r="M64" s="2467"/>
      <c r="N64" s="115"/>
    </row>
    <row r="65" spans="2:14" s="2417" customFormat="1" ht="15" hidden="1" customHeight="1">
      <c r="B65" s="105"/>
      <c r="C65" s="107"/>
      <c r="D65" s="107"/>
      <c r="E65" s="107"/>
      <c r="F65" s="108"/>
      <c r="H65" s="109"/>
      <c r="I65" s="113" t="str">
        <f>CO2データ!D165</f>
        <v>中央電力エナジー(株)</v>
      </c>
      <c r="J65" s="114">
        <f>CO2データ!I165</f>
        <v>5.5999999999999995E-4</v>
      </c>
      <c r="K65" s="107"/>
      <c r="L65" s="100"/>
      <c r="M65" s="2467"/>
      <c r="N65" s="115"/>
    </row>
    <row r="66" spans="2:14" s="2417" customFormat="1" ht="15" hidden="1" customHeight="1">
      <c r="B66" s="105"/>
      <c r="C66" s="107"/>
      <c r="D66" s="107"/>
      <c r="E66" s="107"/>
      <c r="F66" s="108"/>
      <c r="H66" s="109"/>
      <c r="I66" s="113" t="str">
        <f>CO2データ!D166</f>
        <v>テス・エンジニアリング(株)</v>
      </c>
      <c r="J66" s="114">
        <f>CO2データ!I166</f>
        <v>5.9900000000000003E-4</v>
      </c>
      <c r="K66" s="107"/>
      <c r="L66" s="100"/>
      <c r="M66" s="2467"/>
      <c r="N66" s="115"/>
    </row>
    <row r="67" spans="2:14" s="2417" customFormat="1" ht="15" hidden="1" customHeight="1">
      <c r="B67" s="105"/>
      <c r="C67" s="107"/>
      <c r="D67" s="107"/>
      <c r="E67" s="107"/>
      <c r="F67" s="108"/>
      <c r="H67" s="109"/>
      <c r="I67" s="113" t="str">
        <f>CO2データ!D167</f>
        <v>テプコカスタマーサービス(株)</v>
      </c>
      <c r="J67" s="114">
        <f>CO2データ!I167</f>
        <v>4.8700000000000002E-4</v>
      </c>
      <c r="K67" s="107"/>
      <c r="L67" s="100"/>
      <c r="M67" s="2467"/>
      <c r="N67" s="115"/>
    </row>
    <row r="68" spans="2:14" s="2417" customFormat="1" ht="15" hidden="1" customHeight="1">
      <c r="B68" s="105"/>
      <c r="C68" s="107"/>
      <c r="D68" s="107"/>
      <c r="E68" s="107"/>
      <c r="F68" s="108"/>
      <c r="H68" s="109"/>
      <c r="I68" s="113" t="str">
        <f>CO2データ!D168</f>
        <v>東京エコサービス(株)</v>
      </c>
      <c r="J68" s="114">
        <f>CO2データ!I168</f>
        <v>7.1000000000000005E-5</v>
      </c>
      <c r="K68" s="107"/>
      <c r="L68" s="100"/>
      <c r="M68" s="2467"/>
      <c r="N68" s="115"/>
    </row>
    <row r="69" spans="2:14" s="2417" customFormat="1" ht="15" hidden="1" customHeight="1">
      <c r="B69" s="105"/>
      <c r="C69" s="107"/>
      <c r="D69" s="107"/>
      <c r="E69" s="107"/>
      <c r="F69" s="108"/>
      <c r="H69" s="109"/>
      <c r="I69" s="113" t="str">
        <f>CO2データ!D169</f>
        <v>にちほクラウド電力(株)</v>
      </c>
      <c r="J69" s="114">
        <f>CO2データ!I169</f>
        <v>5.3899999999999998E-4</v>
      </c>
      <c r="K69" s="107"/>
      <c r="L69" s="100"/>
      <c r="M69" s="2467"/>
      <c r="N69" s="115"/>
    </row>
    <row r="70" spans="2:14" s="2417" customFormat="1" ht="15" hidden="1" customHeight="1">
      <c r="B70" s="105"/>
      <c r="C70" s="107"/>
      <c r="D70" s="107"/>
      <c r="E70" s="107"/>
      <c r="F70" s="108"/>
      <c r="H70" s="109"/>
      <c r="I70" s="113" t="str">
        <f>CO2データ!D170</f>
        <v>日産トレーデイング(株)</v>
      </c>
      <c r="J70" s="114">
        <f>CO2データ!I170</f>
        <v>3.6499999999999998E-4</v>
      </c>
      <c r="K70" s="107"/>
      <c r="L70" s="100"/>
      <c r="M70" s="2467"/>
      <c r="N70" s="115"/>
    </row>
    <row r="71" spans="2:14" s="2417" customFormat="1" ht="15" hidden="1" customHeight="1">
      <c r="B71" s="105"/>
      <c r="C71" s="107"/>
      <c r="D71" s="107"/>
      <c r="E71" s="107"/>
      <c r="F71" s="108"/>
      <c r="H71" s="109"/>
      <c r="I71" s="113" t="str">
        <f>CO2データ!D171</f>
        <v>日本アルファ電力(株)</v>
      </c>
      <c r="J71" s="114">
        <f>CO2データ!I171</f>
        <v>0</v>
      </c>
      <c r="K71" s="107"/>
      <c r="L71" s="100"/>
      <c r="M71" s="2467"/>
      <c r="N71" s="115"/>
    </row>
    <row r="72" spans="2:14" s="2417" customFormat="1" ht="15" hidden="1" customHeight="1">
      <c r="B72" s="105"/>
      <c r="C72" s="107"/>
      <c r="D72" s="107"/>
      <c r="E72" s="107"/>
      <c r="F72" s="108"/>
      <c r="H72" s="109"/>
      <c r="I72" s="113" t="str">
        <f>CO2データ!D172</f>
        <v>日本テクノ(株)</v>
      </c>
      <c r="J72" s="114">
        <f>CO2データ!I172</f>
        <v>5.3200000000000003E-4</v>
      </c>
      <c r="K72" s="107"/>
      <c r="L72" s="100"/>
      <c r="M72" s="2467"/>
      <c r="N72" s="115"/>
    </row>
    <row r="73" spans="2:14" s="2417" customFormat="1" ht="15" hidden="1" customHeight="1">
      <c r="B73" s="105"/>
      <c r="C73" s="107"/>
      <c r="D73" s="107"/>
      <c r="E73" s="107"/>
      <c r="F73" s="108"/>
      <c r="H73" s="109"/>
      <c r="I73" s="113" t="str">
        <f>CO2データ!D173</f>
        <v>日本ロジテック協同組合</v>
      </c>
      <c r="J73" s="114">
        <f>CO2データ!I173</f>
        <v>3.86E-4</v>
      </c>
      <c r="K73" s="107"/>
      <c r="L73" s="100"/>
      <c r="M73" s="2467"/>
      <c r="N73" s="115"/>
    </row>
    <row r="74" spans="2:14" s="2417" customFormat="1" ht="15" hidden="1" customHeight="1">
      <c r="B74" s="105"/>
      <c r="C74" s="107"/>
      <c r="D74" s="107"/>
      <c r="E74" s="107"/>
      <c r="F74" s="108"/>
      <c r="H74" s="109"/>
      <c r="I74" s="113" t="str">
        <f>CO2データ!D174</f>
        <v>パナソニック(株)</v>
      </c>
      <c r="J74" s="114">
        <f>CO2データ!I174</f>
        <v>6.2200000000000005E-4</v>
      </c>
      <c r="K74" s="107"/>
      <c r="L74" s="100"/>
      <c r="M74" s="2467"/>
      <c r="N74" s="115"/>
    </row>
    <row r="75" spans="2:14" s="2417" customFormat="1" ht="15" hidden="1" customHeight="1">
      <c r="B75" s="105"/>
      <c r="C75" s="107"/>
      <c r="D75" s="107"/>
      <c r="E75" s="107"/>
      <c r="F75" s="108"/>
      <c r="H75" s="109"/>
      <c r="I75" s="113" t="str">
        <f>CO2データ!D175</f>
        <v>プレミアムグリーンパワー(株)</v>
      </c>
      <c r="J75" s="114">
        <f>CO2データ!I175</f>
        <v>1.1E-5</v>
      </c>
      <c r="K75" s="107"/>
      <c r="L75" s="100"/>
      <c r="M75" s="2467"/>
      <c r="N75" s="115"/>
    </row>
    <row r="76" spans="2:14" s="2417" customFormat="1" ht="15" hidden="1" customHeight="1">
      <c r="B76" s="105"/>
      <c r="C76" s="107"/>
      <c r="D76" s="107"/>
      <c r="E76" s="107"/>
      <c r="F76" s="108"/>
      <c r="H76" s="109"/>
      <c r="I76" s="113" t="str">
        <f>CO2データ!D176</f>
        <v>本田技研工業(株)</v>
      </c>
      <c r="J76" s="114">
        <f>CO2データ!I176</f>
        <v>5.8E-4</v>
      </c>
      <c r="K76" s="107"/>
      <c r="L76" s="100"/>
      <c r="M76" s="2467"/>
      <c r="N76" s="115"/>
    </row>
    <row r="77" spans="2:14" s="2417" customFormat="1" ht="15" hidden="1" customHeight="1">
      <c r="B77" s="105"/>
      <c r="C77" s="107"/>
      <c r="D77" s="107"/>
      <c r="E77" s="107"/>
      <c r="F77" s="108"/>
      <c r="H77" s="109"/>
      <c r="I77" s="113" t="str">
        <f>CO2データ!D177</f>
        <v>丸紅(株)</v>
      </c>
      <c r="J77" s="114">
        <f>CO2データ!I177</f>
        <v>4.8200000000000001E-4</v>
      </c>
      <c r="K77" s="107"/>
      <c r="L77" s="100"/>
      <c r="M77" s="2467"/>
      <c r="N77" s="115"/>
    </row>
    <row r="78" spans="2:14" s="2417" customFormat="1" ht="15" hidden="1" customHeight="1">
      <c r="B78" s="105"/>
      <c r="C78" s="107"/>
      <c r="D78" s="107"/>
      <c r="E78" s="107"/>
      <c r="F78" s="108"/>
      <c r="H78" s="109"/>
      <c r="I78" s="113" t="str">
        <f>CO2データ!D178</f>
        <v>ミサワホーム(株)</v>
      </c>
      <c r="J78" s="114">
        <f>CO2データ!I178</f>
        <v>3.1100000000000002E-4</v>
      </c>
      <c r="K78" s="107"/>
      <c r="L78" s="100"/>
      <c r="M78" s="2467"/>
      <c r="N78" s="115"/>
    </row>
    <row r="79" spans="2:14" s="2417" customFormat="1" ht="15" hidden="1" customHeight="1">
      <c r="B79" s="105"/>
      <c r="C79" s="107"/>
      <c r="D79" s="107"/>
      <c r="E79" s="107"/>
      <c r="F79" s="108"/>
      <c r="H79" s="109"/>
      <c r="I79" s="113" t="str">
        <f>CO2データ!D179</f>
        <v>三井物産(株)</v>
      </c>
      <c r="J79" s="114">
        <f>CO2データ!I179</f>
        <v>0</v>
      </c>
      <c r="K79" s="107"/>
      <c r="L79" s="100"/>
      <c r="M79" s="2467"/>
      <c r="N79" s="115"/>
    </row>
    <row r="80" spans="2:14" s="2417" customFormat="1" ht="15" hidden="1" customHeight="1">
      <c r="B80" s="105"/>
      <c r="C80" s="107"/>
      <c r="D80" s="107"/>
      <c r="E80" s="107"/>
      <c r="F80" s="108"/>
      <c r="H80" s="109"/>
      <c r="I80" s="113" t="str">
        <f>CO2データ!D180</f>
        <v>ミツウロコグリーンエネルギー(株)</v>
      </c>
      <c r="J80" s="114">
        <f>CO2データ!I180</f>
        <v>4.66E-4</v>
      </c>
      <c r="K80" s="107"/>
      <c r="L80" s="100"/>
      <c r="M80" s="2467"/>
      <c r="N80" s="115"/>
    </row>
    <row r="81" spans="2:14" s="2417" customFormat="1" ht="15" hidden="1" customHeight="1">
      <c r="B81" s="105"/>
      <c r="C81" s="107"/>
      <c r="D81" s="107"/>
      <c r="E81" s="107"/>
      <c r="F81" s="108"/>
      <c r="H81" s="109"/>
      <c r="I81" s="113" t="str">
        <f>CO2データ!D181</f>
        <v>リエスパワー(株)</v>
      </c>
      <c r="J81" s="114">
        <f>CO2データ!I181</f>
        <v>5.8200000000000005E-4</v>
      </c>
      <c r="K81" s="107"/>
      <c r="L81" s="100"/>
      <c r="M81" s="2467"/>
      <c r="N81" s="115"/>
    </row>
    <row r="82" spans="2:14" s="2417" customFormat="1" ht="15" hidden="1" customHeight="1">
      <c r="B82" s="105"/>
      <c r="C82" s="107"/>
      <c r="D82" s="107"/>
      <c r="E82" s="107"/>
      <c r="F82" s="108"/>
      <c r="H82" s="109"/>
      <c r="I82" s="113" t="str">
        <f>CO2データ!D182</f>
        <v>ワタミファーム＆エナジー(株)</v>
      </c>
      <c r="J82" s="114">
        <f>CO2データ!I182</f>
        <v>4.5399999999999998E-4</v>
      </c>
      <c r="K82" s="107"/>
      <c r="L82" s="100"/>
      <c r="M82" s="2467"/>
      <c r="N82" s="115"/>
    </row>
    <row r="83" spans="2:14" ht="16">
      <c r="B83" s="124"/>
      <c r="C83" s="107"/>
      <c r="D83" s="107"/>
      <c r="E83" s="107"/>
      <c r="F83" s="108"/>
      <c r="H83" s="109"/>
      <c r="I83" s="107"/>
      <c r="J83" s="107"/>
      <c r="K83" s="3027" t="s">
        <v>3499</v>
      </c>
      <c r="L83" s="107"/>
      <c r="M83" s="107"/>
      <c r="N83" s="115"/>
    </row>
    <row r="84" spans="2:14">
      <c r="B84" s="124"/>
      <c r="C84" s="107"/>
      <c r="D84" s="107"/>
      <c r="E84" s="107"/>
      <c r="F84" s="108"/>
      <c r="H84" s="109" t="s">
        <v>223</v>
      </c>
      <c r="I84" s="107"/>
      <c r="J84" s="107"/>
      <c r="K84" s="107"/>
      <c r="L84" s="107"/>
      <c r="M84" s="107"/>
      <c r="N84" s="115"/>
    </row>
    <row r="85" spans="2:14" ht="16">
      <c r="B85" s="124"/>
      <c r="C85" s="107"/>
      <c r="D85" s="107"/>
      <c r="E85" s="107"/>
      <c r="F85" s="108"/>
      <c r="H85" s="109"/>
      <c r="I85" s="125" t="str">
        <f>CO2データ!D184</f>
        <v>代替値</v>
      </c>
      <c r="J85" s="114">
        <f>CO2データ!I184</f>
        <v>5.7899999999999998E-4</v>
      </c>
      <c r="K85" s="3027" t="s">
        <v>3499</v>
      </c>
      <c r="L85" s="107"/>
      <c r="M85" s="107"/>
      <c r="N85" s="115"/>
    </row>
    <row r="86" spans="2:14" ht="13.5" thickBot="1">
      <c r="B86" s="126"/>
      <c r="C86" s="127"/>
      <c r="D86" s="127"/>
      <c r="E86" s="127"/>
      <c r="F86" s="128"/>
      <c r="H86" s="129"/>
      <c r="I86" s="130"/>
      <c r="J86" s="130"/>
      <c r="K86" s="130"/>
      <c r="L86" s="130"/>
      <c r="M86" s="130"/>
      <c r="N86" s="131"/>
    </row>
    <row r="87" spans="2:14">
      <c r="H87" s="132"/>
      <c r="I87" s="132"/>
      <c r="J87" s="132"/>
      <c r="K87" s="132"/>
      <c r="L87" s="132"/>
      <c r="M87" s="132"/>
    </row>
    <row r="88" spans="2:14" hidden="1">
      <c r="B88" s="132" t="s">
        <v>224</v>
      </c>
      <c r="D88" s="132" t="str">
        <f>CO2データ!I104</f>
        <v>実排出係数及び代替値</v>
      </c>
      <c r="F88" s="132" t="str">
        <f>CO2データ!K104</f>
        <v>調整後排出係数</v>
      </c>
      <c r="G88" s="132"/>
      <c r="H88" s="132"/>
    </row>
    <row r="89" spans="2:14" hidden="1">
      <c r="C89" s="1637" t="s">
        <v>3082</v>
      </c>
      <c r="D89" s="132">
        <f>CO2データ!I118</f>
        <v>3.1599999999999998E-4</v>
      </c>
      <c r="F89" s="132">
        <f>CO2データ!K118</f>
        <v>5.5000000000000003E-4</v>
      </c>
      <c r="I89" s="133" t="s">
        <v>1093</v>
      </c>
      <c r="J89">
        <f>IF(C5=C16,VLOOKUP(C5,C89:F166,4),"N.A.")</f>
        <v>4.9600000000000002E-4</v>
      </c>
    </row>
    <row r="90" spans="2:14" hidden="1">
      <c r="C90" s="1637" t="s">
        <v>3083</v>
      </c>
      <c r="D90" s="132">
        <f>CO2データ!I119</f>
        <v>3.1599999999999998E-4</v>
      </c>
      <c r="F90" s="132">
        <f>CO2データ!K119</f>
        <v>5.6099999999999998E-4</v>
      </c>
      <c r="I90" s="133" t="s">
        <v>1094</v>
      </c>
      <c r="J90">
        <f>D16-J89</f>
        <v>9.0000000000000019E-6</v>
      </c>
    </row>
    <row r="91" spans="2:14" hidden="1">
      <c r="C91" s="1637" t="s">
        <v>3105</v>
      </c>
      <c r="D91" s="132">
        <f>CO2データ!I141</f>
        <v>5.3700000000000004E-4</v>
      </c>
      <c r="F91" s="132">
        <f>CO2データ!K141</f>
        <v>5.2400000000000005E-4</v>
      </c>
    </row>
    <row r="92" spans="2:14" hidden="1">
      <c r="C92" s="1637" t="s">
        <v>3097</v>
      </c>
      <c r="D92" s="132">
        <f>CO2データ!I133</f>
        <v>4.5399999999999998E-4</v>
      </c>
      <c r="F92" s="132">
        <f>CO2データ!K133</f>
        <v>3.9800000000000002E-4</v>
      </c>
    </row>
    <row r="93" spans="2:14" hidden="1">
      <c r="C93" s="1637" t="s">
        <v>3106</v>
      </c>
      <c r="D93" s="132">
        <f>CO2データ!I142</f>
        <v>1.7000000000000001E-4</v>
      </c>
      <c r="F93" s="132">
        <f>CO2データ!K142</f>
        <v>0</v>
      </c>
    </row>
    <row r="94" spans="2:14" hidden="1">
      <c r="C94" s="1637" t="s">
        <v>3094</v>
      </c>
      <c r="D94" s="132">
        <f>CO2データ!I130</f>
        <v>4.6200000000000001E-4</v>
      </c>
      <c r="F94" s="132">
        <f>CO2データ!K130</f>
        <v>4.4700000000000002E-4</v>
      </c>
    </row>
    <row r="95" spans="2:14" hidden="1">
      <c r="C95" s="1637" t="s">
        <v>3112</v>
      </c>
      <c r="D95" s="132">
        <f>CO2データ!I148</f>
        <v>2.5399999999999999E-4</v>
      </c>
      <c r="F95" s="132">
        <f>CO2データ!K148</f>
        <v>5.6099999999999998E-4</v>
      </c>
    </row>
    <row r="96" spans="2:14" hidden="1">
      <c r="C96" s="1637" t="s">
        <v>3091</v>
      </c>
      <c r="D96" s="132">
        <f>CO2データ!I127</f>
        <v>5.1099999999999995E-4</v>
      </c>
      <c r="F96" s="132">
        <f>CO2データ!K127</f>
        <v>4.9399999999999997E-4</v>
      </c>
    </row>
    <row r="97" spans="3:6" hidden="1">
      <c r="C97" s="1637" t="s">
        <v>3093</v>
      </c>
      <c r="D97" s="132">
        <f>CO2データ!I129</f>
        <v>1.06E-4</v>
      </c>
      <c r="F97" s="132">
        <f>CO2データ!K129</f>
        <v>7.4399999999999998E-4</v>
      </c>
    </row>
    <row r="98" spans="3:6" hidden="1">
      <c r="C98" s="1637" t="s">
        <v>3095</v>
      </c>
      <c r="D98" s="132">
        <f>CO2データ!I131</f>
        <v>4.15E-4</v>
      </c>
      <c r="F98" s="132">
        <f>CO2データ!K131</f>
        <v>5.53E-4</v>
      </c>
    </row>
    <row r="99" spans="3:6" hidden="1">
      <c r="C99" s="1637" t="s">
        <v>3096</v>
      </c>
      <c r="D99" s="132">
        <f>CO2データ!I132</f>
        <v>4.5399999999999998E-4</v>
      </c>
      <c r="F99" s="132">
        <f>CO2データ!K132</f>
        <v>4.6200000000000001E-4</v>
      </c>
    </row>
    <row r="100" spans="3:6" hidden="1">
      <c r="C100" s="1637" t="s">
        <v>3099</v>
      </c>
      <c r="D100" s="132">
        <f>CO2データ!I135</f>
        <v>4.9200000000000003E-4</v>
      </c>
      <c r="F100" s="132">
        <f>CO2データ!K135</f>
        <v>4.75E-4</v>
      </c>
    </row>
    <row r="101" spans="3:6" hidden="1">
      <c r="C101" s="1637" t="s">
        <v>3100</v>
      </c>
      <c r="D101" s="132">
        <f>CO2データ!I136</f>
        <v>4.7199999999999998E-4</v>
      </c>
      <c r="F101" s="132">
        <f>CO2データ!K136</f>
        <v>5.6800000000000004E-4</v>
      </c>
    </row>
    <row r="102" spans="3:6" hidden="1">
      <c r="C102" s="1637" t="s">
        <v>3101</v>
      </c>
      <c r="D102" s="132">
        <f>CO2データ!I137</f>
        <v>1.5300000000000001E-4</v>
      </c>
      <c r="F102" s="132">
        <f>CO2データ!K137</f>
        <v>5.9800000000000001E-4</v>
      </c>
    </row>
    <row r="103" spans="3:6" hidden="1">
      <c r="C103" s="1637" t="s">
        <v>3103</v>
      </c>
      <c r="D103" s="132">
        <f>CO2データ!I139</f>
        <v>3.7300000000000001E-4</v>
      </c>
      <c r="F103" s="132">
        <f>CO2データ!K139</f>
        <v>3.6000000000000002E-4</v>
      </c>
    </row>
    <row r="104" spans="3:6" hidden="1">
      <c r="C104" s="1637" t="s">
        <v>3104</v>
      </c>
      <c r="D104" s="132">
        <f>CO2データ!I140</f>
        <v>9.0000000000000002E-6</v>
      </c>
      <c r="F104" s="132">
        <f>CO2データ!K140</f>
        <v>9.0000000000000002E-6</v>
      </c>
    </row>
    <row r="105" spans="3:6" hidden="1">
      <c r="C105" s="1637" t="s">
        <v>3108</v>
      </c>
      <c r="D105" s="132">
        <f>CO2データ!I144</f>
        <v>4.9200000000000003E-4</v>
      </c>
      <c r="F105" s="132">
        <f>CO2データ!K144</f>
        <v>4.7699999999999999E-4</v>
      </c>
    </row>
    <row r="106" spans="3:6" hidden="1">
      <c r="C106" s="1637" t="s">
        <v>3109</v>
      </c>
      <c r="D106" s="132">
        <f>CO2データ!I145</f>
        <v>4.95E-4</v>
      </c>
      <c r="F106" s="132">
        <f>CO2データ!K145</f>
        <v>4.7899999999999999E-4</v>
      </c>
    </row>
    <row r="107" spans="3:6" hidden="1">
      <c r="C107" s="1637" t="s">
        <v>3110</v>
      </c>
      <c r="D107" s="132">
        <f>CO2データ!I146</f>
        <v>6.02E-4</v>
      </c>
      <c r="F107" s="132">
        <f>CO2データ!K146</f>
        <v>6.0099999999999997E-4</v>
      </c>
    </row>
    <row r="108" spans="3:6" hidden="1">
      <c r="C108" s="1637" t="s">
        <v>3113</v>
      </c>
      <c r="D108" s="132">
        <f>CO2データ!I149</f>
        <v>1.9000000000000001E-4</v>
      </c>
      <c r="F108" s="132">
        <f>CO2データ!K149</f>
        <v>6.9899999999999997E-4</v>
      </c>
    </row>
    <row r="109" spans="3:6" hidden="1">
      <c r="C109" s="1637" t="s">
        <v>3114</v>
      </c>
      <c r="D109" s="132">
        <f>CO2データ!I150</f>
        <v>5.8100000000000003E-4</v>
      </c>
      <c r="F109" s="132">
        <f>CO2データ!K150</f>
        <v>5.62E-4</v>
      </c>
    </row>
    <row r="110" spans="3:6" hidden="1">
      <c r="C110" s="1637" t="s">
        <v>3098</v>
      </c>
      <c r="D110" s="132">
        <f>CO2データ!I134</f>
        <v>5.4100000000000003E-4</v>
      </c>
      <c r="F110" s="132">
        <f>CO2データ!K134</f>
        <v>5.2800000000000004E-4</v>
      </c>
    </row>
    <row r="111" spans="3:6" hidden="1">
      <c r="C111" s="1637" t="s">
        <v>3092</v>
      </c>
      <c r="D111" s="132">
        <f>CO2データ!I128</f>
        <v>4.3999999999999999E-5</v>
      </c>
      <c r="F111" s="132">
        <f>CO2データ!K128</f>
        <v>4.1999999999999998E-5</v>
      </c>
    </row>
    <row r="112" spans="3:6" hidden="1">
      <c r="C112" s="1637" t="s">
        <v>3107</v>
      </c>
      <c r="D112" s="132">
        <f>CO2データ!I143</f>
        <v>4.8700000000000002E-4</v>
      </c>
      <c r="F112" s="132">
        <f>CO2データ!K143</f>
        <v>7.2800000000000002E-4</v>
      </c>
    </row>
    <row r="113" spans="3:6" hidden="1">
      <c r="C113" s="1637" t="s">
        <v>3111</v>
      </c>
      <c r="D113" s="132">
        <f>CO2データ!I147</f>
        <v>6.0999999999999997E-4</v>
      </c>
      <c r="F113" s="132">
        <f>CO2データ!K147</f>
        <v>6.96E-4</v>
      </c>
    </row>
    <row r="114" spans="3:6" hidden="1">
      <c r="C114" s="1637" t="s">
        <v>3102</v>
      </c>
      <c r="D114" s="132">
        <f>CO2データ!I138</f>
        <v>3.48E-4</v>
      </c>
      <c r="F114" s="132">
        <f>CO2データ!K138</f>
        <v>4.6799999999999999E-4</v>
      </c>
    </row>
    <row r="115" spans="3:6" hidden="1">
      <c r="C115" s="1637" t="s">
        <v>3118</v>
      </c>
      <c r="D115" s="132">
        <f>CO2データ!I154</f>
        <v>5.53E-4</v>
      </c>
      <c r="F115" s="132">
        <f>CO2データ!K154</f>
        <v>5.3399999999999997E-4</v>
      </c>
    </row>
    <row r="116" spans="3:6" hidden="1">
      <c r="C116" s="1637" t="s">
        <v>3117</v>
      </c>
      <c r="D116" s="132">
        <f>CO2データ!I153</f>
        <v>3.2499999999999999E-4</v>
      </c>
      <c r="F116" s="132">
        <f>CO2データ!K153</f>
        <v>3.0600000000000001E-4</v>
      </c>
    </row>
    <row r="117" spans="3:6" hidden="1">
      <c r="C117" s="1637" t="s">
        <v>3086</v>
      </c>
      <c r="D117" s="132">
        <f>CO2データ!I122</f>
        <v>2.5900000000000001E-4</v>
      </c>
      <c r="F117" s="132">
        <f>CO2データ!K122</f>
        <v>3.4200000000000002E-4</v>
      </c>
    </row>
    <row r="118" spans="3:6" hidden="1">
      <c r="C118" s="1637" t="s">
        <v>3079</v>
      </c>
      <c r="D118" s="132">
        <f>CO2データ!I115</f>
        <v>4.0999999999999999E-4</v>
      </c>
      <c r="F118" s="132">
        <f>CO2データ!K115</f>
        <v>3.3700000000000001E-4</v>
      </c>
    </row>
    <row r="119" spans="3:6" hidden="1">
      <c r="C119" s="1637" t="s">
        <v>3080</v>
      </c>
      <c r="D119" s="132">
        <f>CO2データ!I116</f>
        <v>1.9000000000000001E-4</v>
      </c>
      <c r="F119" s="132">
        <f>CO2データ!K116</f>
        <v>1.83E-4</v>
      </c>
    </row>
    <row r="120" spans="3:6" hidden="1">
      <c r="C120" s="1637" t="s">
        <v>3081</v>
      </c>
      <c r="D120" s="132">
        <f>CO2データ!I117</f>
        <v>6.6200000000000005E-4</v>
      </c>
      <c r="F120" s="132">
        <f>CO2データ!K117</f>
        <v>4.6900000000000002E-4</v>
      </c>
    </row>
    <row r="121" spans="3:6" hidden="1">
      <c r="C121" s="1637" t="s">
        <v>3087</v>
      </c>
      <c r="D121" s="132">
        <f>CO2データ!I123</f>
        <v>6.3400000000000001E-4</v>
      </c>
      <c r="F121" s="132">
        <f>CO2データ!K123</f>
        <v>2.0599999999999999E-4</v>
      </c>
    </row>
    <row r="122" spans="3:6" hidden="1">
      <c r="C122" s="1637" t="s">
        <v>3090</v>
      </c>
      <c r="D122" s="132">
        <f>CO2データ!I126</f>
        <v>4.9799999999999996E-4</v>
      </c>
      <c r="F122" s="132">
        <f>CO2データ!K126</f>
        <v>3.9300000000000001E-4</v>
      </c>
    </row>
    <row r="123" spans="3:6" hidden="1">
      <c r="C123" s="1637" t="s">
        <v>3116</v>
      </c>
      <c r="D123" s="132">
        <f>CO2データ!I152</f>
        <v>4.1300000000000001E-4</v>
      </c>
      <c r="F123" s="132">
        <f>CO2データ!K152</f>
        <v>5.0299999999999997E-4</v>
      </c>
    </row>
    <row r="124" spans="3:6" hidden="1">
      <c r="C124" s="1637" t="s">
        <v>3120</v>
      </c>
      <c r="D124" s="132">
        <f>CO2データ!I156</f>
        <v>4.1599999999999997E-4</v>
      </c>
      <c r="F124" s="132">
        <f>CO2データ!K156</f>
        <v>5.6300000000000002E-4</v>
      </c>
    </row>
    <row r="125" spans="3:6" hidden="1">
      <c r="C125" s="1637" t="s">
        <v>3127</v>
      </c>
      <c r="D125" s="132">
        <f>CO2データ!I163</f>
        <v>3.39E-4</v>
      </c>
      <c r="F125" s="132">
        <f>CO2データ!K163</f>
        <v>3.2299999999999999E-4</v>
      </c>
    </row>
    <row r="126" spans="3:6" hidden="1">
      <c r="C126" s="1637" t="s">
        <v>3130</v>
      </c>
      <c r="D126" s="132">
        <f>CO2データ!I166</f>
        <v>5.9900000000000003E-4</v>
      </c>
      <c r="F126" s="132">
        <f>CO2データ!K166</f>
        <v>9.2500000000000004E-4</v>
      </c>
    </row>
    <row r="127" spans="3:6" hidden="1">
      <c r="C127" s="1637" t="s">
        <v>3131</v>
      </c>
      <c r="D127" s="132">
        <f>CO2データ!I167</f>
        <v>4.8700000000000002E-4</v>
      </c>
      <c r="F127" s="132">
        <f>CO2データ!K167</f>
        <v>3.2699999999999998E-4</v>
      </c>
    </row>
    <row r="128" spans="3:6" hidden="1">
      <c r="C128" s="1637" t="s">
        <v>3133</v>
      </c>
      <c r="D128" s="132">
        <f>CO2データ!I169</f>
        <v>5.3899999999999998E-4</v>
      </c>
      <c r="F128" s="132">
        <f>CO2データ!K169</f>
        <v>5.2099999999999998E-4</v>
      </c>
    </row>
    <row r="129" spans="3:6" hidden="1">
      <c r="C129" s="1637" t="s">
        <v>3137</v>
      </c>
      <c r="D129" s="132">
        <f>CO2データ!I174</f>
        <v>6.2200000000000005E-4</v>
      </c>
      <c r="F129" s="132">
        <f>CO2データ!K174</f>
        <v>6.11E-4</v>
      </c>
    </row>
    <row r="130" spans="3:6" hidden="1">
      <c r="C130" s="1637" t="s">
        <v>3138</v>
      </c>
      <c r="D130" s="132">
        <f>CO2データ!I175</f>
        <v>1.1E-5</v>
      </c>
      <c r="F130" s="132">
        <f>CO2データ!K175</f>
        <v>2.6499999999999999E-4</v>
      </c>
    </row>
    <row r="131" spans="3:6" hidden="1">
      <c r="C131" s="1637" t="s">
        <v>3141</v>
      </c>
      <c r="D131" s="132">
        <f>CO2データ!I178</f>
        <v>3.1100000000000002E-4</v>
      </c>
      <c r="F131" s="132">
        <f>CO2データ!K178</f>
        <v>3.01E-4</v>
      </c>
    </row>
    <row r="132" spans="3:6" hidden="1">
      <c r="C132" s="1637" t="s">
        <v>3143</v>
      </c>
      <c r="D132" s="132">
        <f>CO2データ!I180</f>
        <v>4.66E-4</v>
      </c>
      <c r="F132" s="132">
        <f>CO2データ!K180</f>
        <v>4.9799999999999996E-4</v>
      </c>
    </row>
    <row r="133" spans="3:6" hidden="1">
      <c r="C133" s="1637" t="s">
        <v>3144</v>
      </c>
      <c r="D133" s="132">
        <f>CO2データ!I181</f>
        <v>5.8200000000000005E-4</v>
      </c>
      <c r="F133" s="132">
        <f>CO2データ!K181</f>
        <v>0</v>
      </c>
    </row>
    <row r="134" spans="3:6" hidden="1">
      <c r="C134" s="1637" t="s">
        <v>3145</v>
      </c>
      <c r="D134" s="132">
        <f>CO2データ!I182</f>
        <v>4.5399999999999998E-4</v>
      </c>
      <c r="F134" s="132">
        <f>CO2データ!K182</f>
        <v>4.3899999999999999E-4</v>
      </c>
    </row>
    <row r="135" spans="3:6" hidden="1">
      <c r="C135" s="1637" t="s">
        <v>3085</v>
      </c>
      <c r="D135" s="132">
        <f>CO2データ!I121</f>
        <v>5.6800000000000004E-4</v>
      </c>
      <c r="F135" s="132">
        <f>CO2データ!K121</f>
        <v>2.9399999999999999E-4</v>
      </c>
    </row>
    <row r="136" spans="3:6" hidden="1">
      <c r="C136" s="1637" t="s">
        <v>3088</v>
      </c>
      <c r="D136" s="132">
        <f>CO2データ!I124</f>
        <v>2.6600000000000001E-4</v>
      </c>
      <c r="F136" s="132">
        <f>CO2データ!K124</f>
        <v>6.2399999999999999E-4</v>
      </c>
    </row>
    <row r="137" spans="3:6" hidden="1">
      <c r="C137" s="1637" t="s">
        <v>3089</v>
      </c>
      <c r="D137" s="132">
        <f>CO2データ!I125</f>
        <v>4.3800000000000002E-4</v>
      </c>
      <c r="F137" s="132">
        <f>CO2データ!K125</f>
        <v>4.1899999999999999E-4</v>
      </c>
    </row>
    <row r="138" spans="3:6" hidden="1">
      <c r="C138" s="1637" t="s">
        <v>3078</v>
      </c>
      <c r="D138" s="132">
        <f>CO2データ!I114</f>
        <v>8.1599999999999999E-4</v>
      </c>
      <c r="F138" s="132">
        <f>CO2データ!K114</f>
        <v>8.1599999999999999E-4</v>
      </c>
    </row>
    <row r="139" spans="3:6" hidden="1">
      <c r="C139" s="1637" t="s">
        <v>3074</v>
      </c>
      <c r="D139" s="132">
        <f>CO2データ!I110</f>
        <v>5.31E-4</v>
      </c>
      <c r="F139" s="132">
        <f>CO2データ!K110</f>
        <v>5.2300000000000003E-4</v>
      </c>
    </row>
    <row r="140" spans="3:6" hidden="1">
      <c r="C140" s="1637" t="s">
        <v>3140</v>
      </c>
      <c r="D140" s="132">
        <f>CO2データ!I177</f>
        <v>4.8200000000000001E-4</v>
      </c>
      <c r="F140" s="132">
        <f>CO2データ!K177</f>
        <v>4.8700000000000002E-4</v>
      </c>
    </row>
    <row r="141" spans="3:6" hidden="1">
      <c r="C141" s="1637" t="s">
        <v>3115</v>
      </c>
      <c r="D141" s="132">
        <f>CO2データ!I151</f>
        <v>4.9399999999999997E-4</v>
      </c>
      <c r="F141" s="132">
        <f>CO2データ!K151</f>
        <v>4.7800000000000002E-4</v>
      </c>
    </row>
    <row r="142" spans="3:6" hidden="1">
      <c r="C142" s="1637" t="s">
        <v>3077</v>
      </c>
      <c r="D142" s="132">
        <f>CO2データ!I113</f>
        <v>5.8399999999999999E-4</v>
      </c>
      <c r="F142" s="132">
        <f>CO2データ!K113</f>
        <v>5.9800000000000001E-4</v>
      </c>
    </row>
    <row r="143" spans="3:6" hidden="1">
      <c r="C143" s="1637" t="s">
        <v>3142</v>
      </c>
      <c r="D143" s="132">
        <f>CO2データ!I179</f>
        <v>0</v>
      </c>
      <c r="F143" s="132">
        <f>CO2データ!K179</f>
        <v>0</v>
      </c>
    </row>
    <row r="144" spans="3:6" hidden="1">
      <c r="C144" s="1637" t="s">
        <v>3076</v>
      </c>
      <c r="D144" s="132">
        <f>CO2データ!I112</f>
        <v>6.7599999999999995E-4</v>
      </c>
      <c r="F144" s="132">
        <f>CO2データ!K112</f>
        <v>6.8800000000000003E-4</v>
      </c>
    </row>
    <row r="145" spans="3:6" hidden="1">
      <c r="C145" s="1637" t="s">
        <v>3119</v>
      </c>
      <c r="D145" s="132">
        <f>CO2データ!I155</f>
        <v>3.6000000000000001E-5</v>
      </c>
      <c r="F145" s="132">
        <f>CO2データ!K155</f>
        <v>5.7600000000000001E-4</v>
      </c>
    </row>
    <row r="146" spans="3:6" hidden="1">
      <c r="C146" s="1637" t="s">
        <v>3084</v>
      </c>
      <c r="D146" s="132">
        <f>CO2データ!I120</f>
        <v>2.5300000000000002E-4</v>
      </c>
      <c r="F146" s="132">
        <f>CO2データ!K120</f>
        <v>7.3899999999999997E-4</v>
      </c>
    </row>
    <row r="147" spans="3:6" hidden="1">
      <c r="C147" s="1637" t="s">
        <v>3121</v>
      </c>
      <c r="D147" s="132">
        <f>CO2データ!I157</f>
        <v>3.7199999999999999E-4</v>
      </c>
      <c r="F147" s="132">
        <f>CO2データ!K157</f>
        <v>3.5300000000000002E-4</v>
      </c>
    </row>
    <row r="148" spans="3:6" hidden="1">
      <c r="C148" s="1637" t="s">
        <v>3122</v>
      </c>
      <c r="D148" s="132">
        <f>CO2データ!I158</f>
        <v>5.5999999999999995E-4</v>
      </c>
      <c r="F148" s="132">
        <f>CO2データ!K158</f>
        <v>5.6999999999999998E-4</v>
      </c>
    </row>
    <row r="149" spans="3:6" hidden="1">
      <c r="C149" s="1637" t="s">
        <v>3124</v>
      </c>
      <c r="D149" s="132">
        <f>CO2データ!I160</f>
        <v>3.2899999999999997E-4</v>
      </c>
      <c r="F149" s="132">
        <f>CO2データ!K160</f>
        <v>3.1E-4</v>
      </c>
    </row>
    <row r="150" spans="3:6" hidden="1">
      <c r="C150" s="1637" t="s">
        <v>3125</v>
      </c>
      <c r="D150" s="132">
        <f>CO2データ!I161</f>
        <v>6.3599999999999996E-4</v>
      </c>
      <c r="F150" s="132">
        <f>CO2データ!K161</f>
        <v>6.1499999999999999E-4</v>
      </c>
    </row>
    <row r="151" spans="3:6" hidden="1">
      <c r="C151" s="1637" t="s">
        <v>3126</v>
      </c>
      <c r="D151" s="132">
        <f>CO2データ!I162</f>
        <v>5.6599999999999999E-4</v>
      </c>
      <c r="F151" s="132">
        <f>CO2データ!K162</f>
        <v>5.4699999999999996E-4</v>
      </c>
    </row>
    <row r="152" spans="3:6" hidden="1">
      <c r="C152" s="1637" t="s">
        <v>3128</v>
      </c>
      <c r="D152" s="132">
        <f>CO2データ!I164</f>
        <v>5.1900000000000004E-4</v>
      </c>
      <c r="F152" s="132">
        <f>CO2データ!K164</f>
        <v>5.0100000000000003E-4</v>
      </c>
    </row>
    <row r="153" spans="3:6" hidden="1">
      <c r="C153" s="1637" t="s">
        <v>3129</v>
      </c>
      <c r="D153" s="132">
        <f>CO2データ!I165</f>
        <v>5.5999999999999995E-4</v>
      </c>
      <c r="F153" s="132">
        <f>CO2データ!K165</f>
        <v>5.4100000000000003E-4</v>
      </c>
    </row>
    <row r="154" spans="3:6" hidden="1">
      <c r="C154" s="1637" t="s">
        <v>3075</v>
      </c>
      <c r="D154" s="132">
        <f>CO2データ!I111</f>
        <v>7.0600000000000003E-4</v>
      </c>
      <c r="F154" s="132">
        <f>CO2データ!K111</f>
        <v>7.0899999999999999E-4</v>
      </c>
    </row>
    <row r="155" spans="3:6" hidden="1">
      <c r="C155" s="1637" t="s">
        <v>3072</v>
      </c>
      <c r="D155" s="132">
        <f>CO2データ!I108</f>
        <v>4.9700000000000005E-4</v>
      </c>
      <c r="F155" s="132">
        <f>CO2データ!K108</f>
        <v>4.9399999999999997E-4</v>
      </c>
    </row>
    <row r="156" spans="3:6" hidden="1">
      <c r="C156" s="1637" t="s">
        <v>3132</v>
      </c>
      <c r="D156" s="132">
        <f>CO2データ!I168</f>
        <v>7.1000000000000005E-5</v>
      </c>
      <c r="F156" s="132">
        <f>CO2データ!K168</f>
        <v>1.4899999999999999E-4</v>
      </c>
    </row>
    <row r="157" spans="3:6" hidden="1">
      <c r="C157" s="1637" t="s">
        <v>3071</v>
      </c>
      <c r="D157" s="132">
        <f>CO2データ!I107</f>
        <v>5.0500000000000002E-4</v>
      </c>
      <c r="F157" s="132">
        <f>CO2データ!K107</f>
        <v>4.9600000000000002E-4</v>
      </c>
    </row>
    <row r="158" spans="3:6" hidden="1">
      <c r="C158" s="1637" t="s">
        <v>3070</v>
      </c>
      <c r="D158" s="132">
        <f>CO2データ!I106</f>
        <v>5.71E-4</v>
      </c>
      <c r="F158" s="132">
        <f>CO2データ!K106</f>
        <v>5.7300000000000005E-4</v>
      </c>
    </row>
    <row r="159" spans="3:6" hidden="1">
      <c r="C159" s="1637" t="s">
        <v>3134</v>
      </c>
      <c r="D159" s="132">
        <f>CO2データ!I170</f>
        <v>3.6499999999999998E-4</v>
      </c>
      <c r="F159" s="132">
        <f>CO2データ!K170</f>
        <v>4.0999999999999999E-4</v>
      </c>
    </row>
    <row r="160" spans="3:6" hidden="1">
      <c r="C160" s="1637" t="s">
        <v>3135</v>
      </c>
      <c r="D160" s="132">
        <f>CO2データ!I171</f>
        <v>0</v>
      </c>
      <c r="F160" s="132">
        <f>CO2データ!K171</f>
        <v>1.4790000000000001E-3</v>
      </c>
    </row>
    <row r="161" spans="3:6" hidden="1">
      <c r="C161" s="1637" t="s">
        <v>3136</v>
      </c>
      <c r="D161" s="132">
        <f>CO2データ!I172</f>
        <v>5.3200000000000003E-4</v>
      </c>
      <c r="F161" s="132">
        <f>CO2データ!K172</f>
        <v>5.8799999999999998E-4</v>
      </c>
    </row>
    <row r="162" spans="3:6" hidden="1">
      <c r="C162" s="1637" t="s">
        <v>1884</v>
      </c>
      <c r="D162" s="132">
        <f>CO2データ!I173</f>
        <v>3.86E-4</v>
      </c>
      <c r="F162" s="132">
        <f>CO2データ!K173</f>
        <v>5.5199999999999997E-4</v>
      </c>
    </row>
    <row r="163" spans="3:6" hidden="1">
      <c r="C163" s="1637" t="s">
        <v>3148</v>
      </c>
      <c r="D163" s="132">
        <f>CO2データ!I105</f>
        <v>6.8300000000000001E-4</v>
      </c>
      <c r="F163" s="132">
        <f>CO2データ!K105</f>
        <v>6.8800000000000003E-4</v>
      </c>
    </row>
    <row r="164" spans="3:6" hidden="1">
      <c r="C164" s="1637" t="s">
        <v>3073</v>
      </c>
      <c r="D164" s="132">
        <f>CO2データ!I109</f>
        <v>6.4700000000000001E-4</v>
      </c>
      <c r="F164" s="132">
        <f>CO2データ!K109</f>
        <v>6.4000000000000005E-4</v>
      </c>
    </row>
    <row r="165" spans="3:6" hidden="1">
      <c r="C165" s="1637" t="s">
        <v>3139</v>
      </c>
      <c r="D165" s="132">
        <f>CO2データ!I176</f>
        <v>5.8E-4</v>
      </c>
      <c r="F165" s="132">
        <f>CO2データ!K176</f>
        <v>5.5999999999999995E-4</v>
      </c>
    </row>
    <row r="166" spans="3:6" hidden="1">
      <c r="C166" s="1637" t="s">
        <v>3123</v>
      </c>
      <c r="D166" s="132">
        <f>CO2データ!I159</f>
        <v>4.8799999999999999E-4</v>
      </c>
      <c r="F166" s="132">
        <f>CO2データ!K159</f>
        <v>3.48E-4</v>
      </c>
    </row>
    <row r="167" spans="3:6" hidden="1">
      <c r="C167" s="1637"/>
      <c r="F167" s="132"/>
    </row>
    <row r="168" spans="3:6" hidden="1">
      <c r="C168" s="1637"/>
      <c r="F168" s="132"/>
    </row>
    <row r="169" spans="3:6" hidden="1">
      <c r="C169" s="1637"/>
      <c r="F169" s="132"/>
    </row>
    <row r="170" spans="3:6" hidden="1">
      <c r="C170" s="1637"/>
      <c r="F170" s="132"/>
    </row>
    <row r="171" spans="3:6" hidden="1">
      <c r="C171" s="1637"/>
      <c r="F171" s="132"/>
    </row>
    <row r="172" spans="3:6" hidden="1">
      <c r="C172" s="1637"/>
      <c r="F172" s="132"/>
    </row>
    <row r="173" spans="3:6" hidden="1">
      <c r="C173" s="1637"/>
      <c r="F173" s="132"/>
    </row>
    <row r="174" spans="3:6" hidden="1">
      <c r="C174" s="1637"/>
      <c r="F174" s="132"/>
    </row>
    <row r="175" spans="3:6" hidden="1">
      <c r="C175" s="1637"/>
      <c r="F175" s="132"/>
    </row>
  </sheetData>
  <sheetProtection algorithmName="SHA-512" hashValue="QsFPVNCvnw/k1zH6tbGstKLxGthIuvPqVdiPbby4NQ/DXCBx5UeLVHl5h8JWsZE3lDb9qeUSd6mLDbLGDqiqvw==" saltValue="rHDP5BbHG1iYbz/MNim7oA==" spinCount="100000" sheet="1" objects="1" scenarios="1"/>
  <sortState ref="C50:F127">
    <sortCondition ref="C50:C127"/>
  </sortState>
  <mergeCells count="1">
    <mergeCell ref="C13:E14"/>
  </mergeCells>
  <phoneticPr fontId="22"/>
  <conditionalFormatting sqref="C16">
    <cfRule type="expression" dxfId="175" priority="1" stopIfTrue="1">
      <formula>$Q$3=2</formula>
    </cfRule>
  </conditionalFormatting>
  <conditionalFormatting sqref="C10:D10">
    <cfRule type="expression" dxfId="174" priority="2" stopIfTrue="1">
      <formula>$Q$3=1</formula>
    </cfRule>
  </conditionalFormatting>
  <conditionalFormatting sqref="C20:D20">
    <cfRule type="expression" dxfId="173" priority="3" stopIfTrue="1">
      <formula>$Q$3=3</formula>
    </cfRule>
  </conditionalFormatting>
  <conditionalFormatting sqref="C28:D28">
    <cfRule type="expression" dxfId="172" priority="4" stopIfTrue="1">
      <formula>$Q$3=5</formula>
    </cfRule>
  </conditionalFormatting>
  <dataValidations count="1">
    <dataValidation type="list" allowBlank="1" showInputMessage="1" showErrorMessage="1" sqref="C16">
      <formula1>$I$5:$I$82</formula1>
    </dataValidation>
  </dataValidations>
  <pageMargins left="0.75" right="0.75" top="1" bottom="1" header="0.51200000000000001" footer="0.51200000000000001"/>
  <pageSetup paperSize="9" scale="53" orientation="portrait" verticalDpi="360" r:id="rId1"/>
  <headerFooter alignWithMargins="0">
    <oddHeader>&amp;L&amp;F&amp;R&amp;A</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sizeWithCells="1">
                  <from>
                    <xdr:col>1</xdr:col>
                    <xdr:colOff>190500</xdr:colOff>
                    <xdr:row>8</xdr:row>
                    <xdr:rowOff>152400</xdr:rowOff>
                  </from>
                  <to>
                    <xdr:col>2</xdr:col>
                    <xdr:colOff>0</xdr:colOff>
                    <xdr:row>9</xdr:row>
                    <xdr:rowOff>152400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sizeWithCells="1">
                  <from>
                    <xdr:col>1</xdr:col>
                    <xdr:colOff>190500</xdr:colOff>
                    <xdr:row>14</xdr:row>
                    <xdr:rowOff>127000</xdr:rowOff>
                  </from>
                  <to>
                    <xdr:col>2</xdr:col>
                    <xdr:colOff>0</xdr:colOff>
                    <xdr:row>16</xdr:row>
                    <xdr:rowOff>19050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sizeWithCells="1">
                  <from>
                    <xdr:col>1</xdr:col>
                    <xdr:colOff>190500</xdr:colOff>
                    <xdr:row>18</xdr:row>
                    <xdr:rowOff>69850</xdr:rowOff>
                  </from>
                  <to>
                    <xdr:col>2</xdr:col>
                    <xdr:colOff>0</xdr:colOff>
                    <xdr:row>20</xdr:row>
                    <xdr:rowOff>114300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sizeWithCells="1">
                  <from>
                    <xdr:col>1</xdr:col>
                    <xdr:colOff>190500</xdr:colOff>
                    <xdr:row>22</xdr:row>
                    <xdr:rowOff>184150</xdr:rowOff>
                  </from>
                  <to>
                    <xdr:col>2</xdr:col>
                    <xdr:colOff>0</xdr:colOff>
                    <xdr:row>24</xdr:row>
                    <xdr:rowOff>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sizeWithCells="1">
                  <from>
                    <xdr:col>1</xdr:col>
                    <xdr:colOff>190500</xdr:colOff>
                    <xdr:row>26</xdr:row>
                    <xdr:rowOff>146050</xdr:rowOff>
                  </from>
                  <to>
                    <xdr:col>2</xdr:col>
                    <xdr:colOff>0</xdr:colOff>
                    <xdr:row>28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B1:AA469"/>
  <sheetViews>
    <sheetView showGridLines="0" topLeftCell="A433" zoomScaleNormal="100" zoomScaleSheetLayoutView="100" workbookViewId="0">
      <selection activeCell="I435" sqref="I435"/>
    </sheetView>
  </sheetViews>
  <sheetFormatPr defaultColWidth="0" defaultRowHeight="13" zeroHeight="1"/>
  <cols>
    <col min="1" max="1" width="1.36328125" customWidth="1"/>
    <col min="2" max="2" width="8.90625" hidden="1" customWidth="1"/>
    <col min="3" max="3" width="6" hidden="1" customWidth="1"/>
    <col min="4" max="4" width="5" style="2277" customWidth="1"/>
    <col min="5" max="5" width="1.36328125" style="132" customWidth="1"/>
    <col min="6" max="15" width="11.6328125" style="132" customWidth="1"/>
    <col min="16" max="16" width="2.453125" customWidth="1"/>
    <col min="17" max="17" width="9.7265625" hidden="1" customWidth="1"/>
    <col min="18" max="18" width="16.26953125" hidden="1" customWidth="1"/>
    <col min="19" max="19" width="3.36328125" hidden="1" customWidth="1"/>
    <col min="20" max="20" width="10.26953125" hidden="1" customWidth="1"/>
    <col min="21" max="21" width="13" hidden="1" customWidth="1"/>
    <col min="22" max="22" width="9.7265625" hidden="1" customWidth="1"/>
    <col min="23" max="23" width="13.7265625" hidden="1" customWidth="1"/>
    <col min="24" max="26" width="9" hidden="1" customWidth="1"/>
    <col min="27" max="27" width="10.08984375" hidden="1" customWidth="1"/>
  </cols>
  <sheetData>
    <row r="1" spans="2:21" ht="15.5">
      <c r="D1" s="903"/>
      <c r="E1" s="904"/>
      <c r="F1" s="904"/>
      <c r="G1" s="904"/>
      <c r="H1" s="904"/>
      <c r="I1" s="904"/>
      <c r="J1" s="904"/>
      <c r="K1" s="904"/>
      <c r="L1" s="904"/>
      <c r="M1" s="905" t="s">
        <v>2697</v>
      </c>
      <c r="N1" s="906" t="str">
        <f>メイン!C11</f>
        <v>○○ビル</v>
      </c>
      <c r="O1" s="907"/>
      <c r="R1" t="s">
        <v>1335</v>
      </c>
    </row>
    <row r="2" spans="2:21" ht="8.25" customHeight="1" thickBot="1">
      <c r="D2" s="908"/>
      <c r="E2" s="909"/>
      <c r="F2" s="909"/>
      <c r="G2" s="909"/>
      <c r="H2" s="909"/>
      <c r="I2" s="909"/>
      <c r="J2" s="909"/>
      <c r="K2" s="909"/>
      <c r="L2" s="909"/>
      <c r="M2" s="909"/>
      <c r="N2" s="909"/>
      <c r="O2" s="909"/>
    </row>
    <row r="3" spans="2:21" ht="18.5" thickBot="1">
      <c r="D3" s="1388" t="s">
        <v>1963</v>
      </c>
      <c r="E3" s="910"/>
      <c r="F3" s="909"/>
      <c r="G3" s="909"/>
      <c r="H3" s="909"/>
      <c r="I3" s="911"/>
      <c r="J3" s="912" t="s">
        <v>2576</v>
      </c>
      <c r="K3" s="913"/>
      <c r="L3" s="913"/>
      <c r="M3" s="909"/>
      <c r="N3" s="909"/>
      <c r="O3" s="914" t="str">
        <f>IF(メイン!E39=0,"",メイン!E39)</f>
        <v/>
      </c>
      <c r="R3" t="s">
        <v>1361</v>
      </c>
      <c r="T3" t="s">
        <v>3340</v>
      </c>
      <c r="U3" t="str">
        <f>メイン!I37</f>
        <v>基本設計段階</v>
      </c>
    </row>
    <row r="4" spans="2:21" ht="6" customHeight="1">
      <c r="D4" s="908"/>
      <c r="E4" s="910"/>
      <c r="F4" s="909"/>
      <c r="G4" s="909"/>
      <c r="H4" s="909"/>
      <c r="I4" s="909"/>
      <c r="J4" s="909"/>
      <c r="K4" s="909"/>
      <c r="L4" s="909"/>
      <c r="M4" s="909"/>
      <c r="N4" s="909"/>
      <c r="O4" s="909"/>
      <c r="S4" t="s">
        <v>1964</v>
      </c>
      <c r="T4" t="s">
        <v>1965</v>
      </c>
      <c r="U4" t="str">
        <f>メイン!I38</f>
        <v>実施設計段階</v>
      </c>
    </row>
    <row r="5" spans="2:21" ht="15.5">
      <c r="D5" s="1326">
        <v>1</v>
      </c>
      <c r="E5" s="915" t="s">
        <v>1362</v>
      </c>
      <c r="F5" s="915"/>
      <c r="G5" s="915"/>
      <c r="H5" s="916"/>
      <c r="I5" s="916"/>
      <c r="J5" s="916"/>
      <c r="K5" s="916"/>
      <c r="L5" s="916"/>
      <c r="M5" s="916"/>
      <c r="N5" s="916"/>
      <c r="O5" s="916"/>
      <c r="U5" t="str">
        <f>メイン!I39</f>
        <v>竣工段階</v>
      </c>
    </row>
    <row r="6" spans="2:21" ht="15.5">
      <c r="D6" s="1326">
        <v>1.1000000000000001</v>
      </c>
      <c r="E6" s="917" t="s">
        <v>957</v>
      </c>
      <c r="F6" s="915"/>
      <c r="G6" s="915"/>
      <c r="H6" s="916"/>
      <c r="I6" s="916"/>
      <c r="J6" s="999" t="e">
        <f>IF(OR(F8=0,AND(J7=0,O7=0)),$R$3,"")</f>
        <v>#DIV/0!</v>
      </c>
      <c r="K6" s="916"/>
      <c r="L6" s="916"/>
      <c r="M6" s="916"/>
      <c r="N6" s="916"/>
      <c r="O6" s="922" t="s">
        <v>1966</v>
      </c>
      <c r="U6">
        <f>メイン!Q42</f>
        <v>0</v>
      </c>
    </row>
    <row r="7" spans="2:21" ht="15.75" customHeight="1" thickBot="1">
      <c r="E7" s="913"/>
      <c r="F7" s="923" t="s">
        <v>1967</v>
      </c>
      <c r="G7" s="924"/>
      <c r="H7" s="925"/>
      <c r="I7" s="926" t="s">
        <v>1364</v>
      </c>
      <c r="J7" s="927" t="e">
        <f>重み!M11</f>
        <v>#DIV/0!</v>
      </c>
      <c r="K7" s="928"/>
      <c r="L7" s="923" t="s">
        <v>1968</v>
      </c>
      <c r="M7" s="924"/>
      <c r="N7" s="926" t="s">
        <v>1364</v>
      </c>
      <c r="O7" s="929" t="e">
        <f>重み!N11</f>
        <v>#DIV/0!</v>
      </c>
    </row>
    <row r="8" spans="2:21" ht="27" customHeight="1" thickBot="1">
      <c r="E8" s="913"/>
      <c r="F8" s="930">
        <v>3</v>
      </c>
      <c r="G8" s="931" t="s">
        <v>3330</v>
      </c>
      <c r="H8" s="2440" t="s">
        <v>3056</v>
      </c>
      <c r="I8" s="933" t="s">
        <v>3058</v>
      </c>
      <c r="J8" s="932" t="s">
        <v>3057</v>
      </c>
      <c r="K8" s="931" t="s">
        <v>1365</v>
      </c>
      <c r="L8" s="930">
        <v>3</v>
      </c>
      <c r="M8" s="934" t="s">
        <v>1366</v>
      </c>
      <c r="N8" s="935"/>
      <c r="O8" s="936"/>
    </row>
    <row r="9" spans="2:21" ht="27" customHeight="1">
      <c r="B9" s="1">
        <v>1</v>
      </c>
      <c r="C9" s="1">
        <v>1</v>
      </c>
      <c r="E9" s="913"/>
      <c r="F9" s="2771" t="str">
        <f>IF(F8=$S$14,$T$9,IF(ROUNDDOWN(F8,0)=$S$9,$U$9,$T$9))</f>
        <v>　レベル　1</v>
      </c>
      <c r="G9" s="938" t="s">
        <v>1367</v>
      </c>
      <c r="H9" s="938" t="s">
        <v>1368</v>
      </c>
      <c r="I9" s="938" t="s">
        <v>1369</v>
      </c>
      <c r="J9" s="938" t="s">
        <v>1370</v>
      </c>
      <c r="K9" s="938" t="s">
        <v>2173</v>
      </c>
      <c r="L9" s="937" t="str">
        <f>IF(L8=$S$14,$T$9,IF(ROUNDDOWN(L8,0)=$S$9,$U$9,$T$9))</f>
        <v>　レベル　1</v>
      </c>
      <c r="M9" s="939" t="s">
        <v>2174</v>
      </c>
      <c r="N9" s="940"/>
      <c r="O9" s="941"/>
      <c r="S9">
        <v>1</v>
      </c>
      <c r="T9" t="s">
        <v>2175</v>
      </c>
      <c r="U9" t="s">
        <v>2176</v>
      </c>
    </row>
    <row r="10" spans="2:21" ht="27" customHeight="1">
      <c r="B10" s="1">
        <v>2</v>
      </c>
      <c r="C10" s="1" t="s">
        <v>2177</v>
      </c>
      <c r="E10" s="913"/>
      <c r="F10" s="942" t="str">
        <f>IF(F8=$S$14,$T$10,IF(ROUNDDOWN(F8,0)=$S$10,$U$10,$T$10))</f>
        <v>　レベル　2</v>
      </c>
      <c r="G10" s="943" t="s">
        <v>2178</v>
      </c>
      <c r="H10" s="943" t="s">
        <v>2178</v>
      </c>
      <c r="I10" s="944" t="s">
        <v>2178</v>
      </c>
      <c r="J10" s="944" t="s">
        <v>2178</v>
      </c>
      <c r="K10" s="945" t="s">
        <v>2179</v>
      </c>
      <c r="L10" s="942" t="str">
        <f>IF(L8=$S$14,$T$10,IF(ROUNDDOWN(L8,0)=$S$10,$U$10,$T$10))</f>
        <v>　レベル　2</v>
      </c>
      <c r="M10" s="946" t="s">
        <v>2178</v>
      </c>
      <c r="N10" s="947"/>
      <c r="O10" s="948"/>
      <c r="S10">
        <v>2</v>
      </c>
      <c r="T10" t="s">
        <v>1336</v>
      </c>
      <c r="U10" t="s">
        <v>1337</v>
      </c>
    </row>
    <row r="11" spans="2:21" ht="27" customHeight="1">
      <c r="B11" s="1">
        <v>3</v>
      </c>
      <c r="C11" s="1">
        <v>3</v>
      </c>
      <c r="E11" s="913"/>
      <c r="F11" s="942" t="str">
        <f>IF(F8=$S$14,$T$11,IF(ROUNDDOWN(F8,0)=$S$11,$U$11,$T$11))</f>
        <v>■レベル　3</v>
      </c>
      <c r="G11" s="945" t="s">
        <v>1338</v>
      </c>
      <c r="H11" s="945" t="s">
        <v>1339</v>
      </c>
      <c r="I11" s="945" t="s">
        <v>1340</v>
      </c>
      <c r="J11" s="949" t="s">
        <v>1341</v>
      </c>
      <c r="K11" s="945" t="s">
        <v>1338</v>
      </c>
      <c r="L11" s="942" t="str">
        <f>IF(L8=$S$14,$T$11,IF(ROUNDDOWN(L8,0)=$S$11,$U$11,$T$11))</f>
        <v>■レベル　3</v>
      </c>
      <c r="M11" s="946" t="s">
        <v>1339</v>
      </c>
      <c r="N11" s="947"/>
      <c r="O11" s="948"/>
      <c r="S11">
        <v>3</v>
      </c>
      <c r="T11" t="s">
        <v>1342</v>
      </c>
      <c r="U11" t="s">
        <v>1343</v>
      </c>
    </row>
    <row r="12" spans="2:21" ht="27" customHeight="1">
      <c r="B12" s="1">
        <v>4</v>
      </c>
      <c r="C12" s="1">
        <v>4</v>
      </c>
      <c r="E12" s="913"/>
      <c r="F12" s="942" t="str">
        <f>IF(F8=$S$14,$T$12,IF(ROUNDDOWN(F8,0)=$S$12,$U$12,$T$12))</f>
        <v>　レベル　4</v>
      </c>
      <c r="G12" s="950" t="s">
        <v>1339</v>
      </c>
      <c r="H12" s="951" t="s">
        <v>1341</v>
      </c>
      <c r="I12" s="952" t="s">
        <v>1338</v>
      </c>
      <c r="J12" s="952" t="s">
        <v>1344</v>
      </c>
      <c r="K12" s="950" t="s">
        <v>1345</v>
      </c>
      <c r="L12" s="942" t="str">
        <f>IF(L8=$S$14,$T$12,IF(ROUNDDOWN(L8,0)=$S$12,$U$12,$T$12))</f>
        <v>　レベル　4</v>
      </c>
      <c r="M12" s="946" t="s">
        <v>1220</v>
      </c>
      <c r="N12" s="947"/>
      <c r="O12" s="948"/>
      <c r="S12">
        <v>4</v>
      </c>
      <c r="T12" t="s">
        <v>1221</v>
      </c>
      <c r="U12" t="s">
        <v>1222</v>
      </c>
    </row>
    <row r="13" spans="2:21" ht="27" customHeight="1">
      <c r="B13" s="1">
        <v>5</v>
      </c>
      <c r="C13" s="1">
        <v>5</v>
      </c>
      <c r="E13" s="913"/>
      <c r="F13" s="953" t="str">
        <f>IF(F8=$S$14,$T$13,IF(ROUNDDOWN(F8,0)=$S$13,$U$13,$T$13))</f>
        <v>　レベル　5</v>
      </c>
      <c r="G13" s="954" t="s">
        <v>1223</v>
      </c>
      <c r="H13" s="955" t="s">
        <v>1224</v>
      </c>
      <c r="I13" s="956" t="s">
        <v>1225</v>
      </c>
      <c r="J13" s="956" t="s">
        <v>1226</v>
      </c>
      <c r="K13" s="954" t="s">
        <v>1227</v>
      </c>
      <c r="L13" s="953" t="str">
        <f>IF(L8=$S$14,$T$13,IF(ROUNDDOWN(L8,0)=$S$13,$U$13,$T$13))</f>
        <v>　レベル　5</v>
      </c>
      <c r="M13" s="957" t="s">
        <v>1227</v>
      </c>
      <c r="N13" s="958"/>
      <c r="O13" s="959"/>
      <c r="S13">
        <v>5</v>
      </c>
      <c r="T13" t="s">
        <v>1228</v>
      </c>
      <c r="U13" t="s">
        <v>1229</v>
      </c>
    </row>
    <row r="14" spans="2:21">
      <c r="B14" s="960">
        <v>0</v>
      </c>
      <c r="C14" s="960">
        <v>0</v>
      </c>
      <c r="E14" s="913"/>
      <c r="F14" s="961" t="s">
        <v>1230</v>
      </c>
      <c r="G14" s="962"/>
      <c r="H14" s="962"/>
      <c r="I14" s="962"/>
      <c r="J14" s="962"/>
      <c r="K14" s="962"/>
      <c r="L14" s="962"/>
      <c r="M14" s="962"/>
      <c r="N14" s="962"/>
      <c r="O14" s="962"/>
      <c r="S14">
        <v>0</v>
      </c>
      <c r="T14" t="s">
        <v>1732</v>
      </c>
      <c r="U14" t="s">
        <v>1732</v>
      </c>
    </row>
    <row r="15" spans="2:21">
      <c r="E15" s="913"/>
      <c r="F15" s="963" t="s">
        <v>3051</v>
      </c>
      <c r="G15" s="964" t="s">
        <v>1733</v>
      </c>
      <c r="H15" s="964" t="s">
        <v>1734</v>
      </c>
      <c r="I15" s="964" t="s">
        <v>1735</v>
      </c>
      <c r="J15" s="964" t="s">
        <v>1736</v>
      </c>
      <c r="K15" s="964" t="s">
        <v>1737</v>
      </c>
      <c r="L15" s="964" t="s">
        <v>1738</v>
      </c>
      <c r="M15" s="964" t="s">
        <v>1739</v>
      </c>
      <c r="N15" s="964" t="s">
        <v>1740</v>
      </c>
      <c r="O15" s="964" t="s">
        <v>1741</v>
      </c>
    </row>
    <row r="16" spans="2:21">
      <c r="E16" s="913"/>
      <c r="F16" s="963" t="s">
        <v>1742</v>
      </c>
      <c r="G16" s="965" t="s">
        <v>1743</v>
      </c>
      <c r="H16" s="965" t="s">
        <v>1744</v>
      </c>
      <c r="I16" s="965" t="s">
        <v>1745</v>
      </c>
      <c r="J16" s="965" t="s">
        <v>1095</v>
      </c>
      <c r="K16" s="965" t="s">
        <v>1096</v>
      </c>
      <c r="L16" s="965" t="s">
        <v>1097</v>
      </c>
      <c r="M16" s="965" t="s">
        <v>1098</v>
      </c>
      <c r="N16" s="965" t="s">
        <v>1099</v>
      </c>
      <c r="O16" s="965" t="s">
        <v>1100</v>
      </c>
    </row>
    <row r="17" spans="5:15">
      <c r="E17" s="913"/>
      <c r="F17" s="966" t="s">
        <v>1101</v>
      </c>
      <c r="G17" s="967" t="s">
        <v>1231</v>
      </c>
      <c r="H17" s="968" t="s">
        <v>1232</v>
      </c>
      <c r="I17" s="968"/>
      <c r="J17" s="968"/>
      <c r="K17" s="968" t="s">
        <v>1233</v>
      </c>
      <c r="L17" s="968"/>
      <c r="M17" s="969" t="s">
        <v>1234</v>
      </c>
      <c r="N17" s="968"/>
      <c r="O17" s="2836" t="s">
        <v>1235</v>
      </c>
    </row>
    <row r="18" spans="5:15">
      <c r="E18" s="913"/>
      <c r="F18" s="3138" t="s">
        <v>1236</v>
      </c>
      <c r="G18" s="970"/>
      <c r="H18" s="971"/>
      <c r="I18" s="972" t="s">
        <v>1237</v>
      </c>
      <c r="J18" s="972"/>
      <c r="K18" s="973" t="s">
        <v>1238</v>
      </c>
      <c r="L18" s="971"/>
      <c r="M18" s="973" t="s">
        <v>1239</v>
      </c>
      <c r="N18" s="971"/>
      <c r="O18" s="974" t="s">
        <v>1240</v>
      </c>
    </row>
    <row r="19" spans="5:15">
      <c r="E19" s="913"/>
      <c r="F19" s="3139"/>
      <c r="G19" s="975"/>
      <c r="H19" s="976"/>
      <c r="I19" s="977" t="s">
        <v>1102</v>
      </c>
      <c r="J19" s="976"/>
      <c r="K19" s="978" t="s">
        <v>1103</v>
      </c>
      <c r="L19" s="979" t="s">
        <v>1104</v>
      </c>
      <c r="M19" s="978" t="s">
        <v>1105</v>
      </c>
      <c r="N19" s="979" t="s">
        <v>1104</v>
      </c>
      <c r="O19" s="980" t="s">
        <v>1106</v>
      </c>
    </row>
    <row r="20" spans="5:15">
      <c r="E20" s="913"/>
      <c r="F20" s="981" t="s">
        <v>1107</v>
      </c>
      <c r="G20" s="971" t="s">
        <v>196</v>
      </c>
      <c r="H20" s="971" t="s">
        <v>1108</v>
      </c>
      <c r="I20" s="971" t="s">
        <v>1109</v>
      </c>
      <c r="J20" s="971" t="s">
        <v>1110</v>
      </c>
      <c r="K20" s="971" t="s">
        <v>197</v>
      </c>
      <c r="L20" s="971" t="s">
        <v>198</v>
      </c>
      <c r="M20" s="971"/>
      <c r="N20" s="971"/>
      <c r="O20" s="982"/>
    </row>
    <row r="21" spans="5:15">
      <c r="E21" s="913"/>
      <c r="F21" s="983" t="s">
        <v>199</v>
      </c>
      <c r="G21" s="984"/>
      <c r="H21" s="984" t="s">
        <v>200</v>
      </c>
      <c r="I21" s="984" t="s">
        <v>201</v>
      </c>
      <c r="J21" s="984" t="s">
        <v>202</v>
      </c>
      <c r="K21" s="985" t="s">
        <v>203</v>
      </c>
      <c r="L21" s="986"/>
      <c r="M21" s="984" t="s">
        <v>1111</v>
      </c>
      <c r="N21" s="984"/>
      <c r="O21" s="987"/>
    </row>
    <row r="22" spans="5:15">
      <c r="E22" s="913"/>
      <c r="F22" s="983" t="s">
        <v>1974</v>
      </c>
      <c r="G22" s="984"/>
      <c r="H22" s="984" t="s">
        <v>204</v>
      </c>
      <c r="I22" s="984" t="s">
        <v>205</v>
      </c>
      <c r="J22" s="984" t="s">
        <v>1050</v>
      </c>
      <c r="K22" s="984" t="s">
        <v>1882</v>
      </c>
      <c r="L22" s="984" t="s">
        <v>1883</v>
      </c>
      <c r="M22" s="984" t="s">
        <v>1206</v>
      </c>
      <c r="N22" s="984"/>
      <c r="O22" s="987"/>
    </row>
    <row r="23" spans="5:15">
      <c r="E23" s="913"/>
      <c r="F23" s="983" t="s">
        <v>1207</v>
      </c>
      <c r="G23" s="984"/>
      <c r="H23" s="984"/>
      <c r="I23" s="984"/>
      <c r="J23" s="984" t="s">
        <v>1208</v>
      </c>
      <c r="K23" s="984" t="s">
        <v>1209</v>
      </c>
      <c r="L23" s="984" t="s">
        <v>2164</v>
      </c>
      <c r="M23" s="984" t="s">
        <v>1112</v>
      </c>
      <c r="N23" s="984"/>
      <c r="O23" s="987"/>
    </row>
    <row r="24" spans="5:15">
      <c r="E24" s="913"/>
      <c r="F24" s="983" t="s">
        <v>198</v>
      </c>
      <c r="G24" s="984"/>
      <c r="H24" s="984"/>
      <c r="I24" s="984"/>
      <c r="J24" s="985" t="s">
        <v>2165</v>
      </c>
      <c r="K24" s="984" t="s">
        <v>2166</v>
      </c>
      <c r="L24" s="984" t="s">
        <v>2191</v>
      </c>
      <c r="M24" s="986" t="s">
        <v>198</v>
      </c>
      <c r="N24" s="986"/>
      <c r="O24" s="987" t="s">
        <v>2192</v>
      </c>
    </row>
    <row r="25" spans="5:15">
      <c r="E25" s="913"/>
      <c r="F25" s="983" t="s">
        <v>2193</v>
      </c>
      <c r="G25" s="984"/>
      <c r="H25" s="984"/>
      <c r="I25" s="984"/>
      <c r="J25" s="984" t="s">
        <v>2194</v>
      </c>
      <c r="K25" s="984" t="s">
        <v>2195</v>
      </c>
      <c r="L25" s="984" t="s">
        <v>2196</v>
      </c>
      <c r="M25" s="984" t="s">
        <v>2197</v>
      </c>
      <c r="N25" s="985" t="s">
        <v>2198</v>
      </c>
      <c r="O25" s="988"/>
    </row>
    <row r="26" spans="5:15">
      <c r="E26" s="913"/>
      <c r="F26" s="983" t="s">
        <v>2199</v>
      </c>
      <c r="G26" s="984"/>
      <c r="H26" s="984"/>
      <c r="I26" s="984"/>
      <c r="J26" s="984" t="s">
        <v>2200</v>
      </c>
      <c r="K26" s="984" t="s">
        <v>824</v>
      </c>
      <c r="L26" s="984" t="s">
        <v>825</v>
      </c>
      <c r="M26" s="984"/>
      <c r="N26" s="984" t="s">
        <v>826</v>
      </c>
      <c r="O26" s="987"/>
    </row>
    <row r="27" spans="5:15">
      <c r="E27" s="913"/>
      <c r="F27" s="3140" t="s">
        <v>2187</v>
      </c>
      <c r="G27" s="984"/>
      <c r="H27" s="984"/>
      <c r="I27" s="984"/>
      <c r="J27" s="984"/>
      <c r="K27" s="989" t="s">
        <v>2188</v>
      </c>
      <c r="L27" s="984" t="s">
        <v>2189</v>
      </c>
      <c r="M27" s="986" t="s">
        <v>2190</v>
      </c>
      <c r="N27" s="986"/>
      <c r="O27" s="987"/>
    </row>
    <row r="28" spans="5:15">
      <c r="E28" s="913"/>
      <c r="F28" s="3141"/>
      <c r="G28" s="990"/>
      <c r="H28" s="990"/>
      <c r="I28" s="990"/>
      <c r="J28" s="990"/>
      <c r="K28" s="991" t="s">
        <v>1113</v>
      </c>
      <c r="L28" s="991"/>
      <c r="M28" s="990" t="s">
        <v>1114</v>
      </c>
      <c r="N28" s="990" t="s">
        <v>2475</v>
      </c>
      <c r="O28" s="992"/>
    </row>
    <row r="29" spans="5:15">
      <c r="E29" s="913"/>
      <c r="F29" s="909"/>
      <c r="G29" s="993"/>
      <c r="H29" s="993"/>
      <c r="I29" s="993"/>
      <c r="J29" s="993"/>
      <c r="K29" s="993"/>
      <c r="L29" s="993"/>
      <c r="M29" s="993"/>
      <c r="N29" s="993"/>
      <c r="O29" s="994" t="s">
        <v>2476</v>
      </c>
    </row>
    <row r="30" spans="5:15" ht="0.75" customHeight="1">
      <c r="E30" s="913"/>
      <c r="F30" s="909"/>
      <c r="G30" s="995"/>
      <c r="H30" s="995"/>
      <c r="I30" s="995"/>
      <c r="J30" s="995"/>
      <c r="K30" s="995"/>
      <c r="L30" s="995"/>
      <c r="M30" s="995"/>
      <c r="N30" s="995"/>
      <c r="O30" s="995"/>
    </row>
    <row r="31" spans="5:15" ht="14" hidden="1">
      <c r="E31" s="913"/>
      <c r="F31" s="2233" t="s">
        <v>2477</v>
      </c>
      <c r="G31" s="996"/>
      <c r="H31" s="997"/>
      <c r="I31" s="998"/>
      <c r="J31" s="999" t="e">
        <f>IF(OR(F33=0,AND(J32=0,O32=0)),$R$3,"")</f>
        <v>#DIV/0!</v>
      </c>
      <c r="K31" s="998"/>
      <c r="L31" s="996"/>
      <c r="M31" s="997"/>
      <c r="N31" s="998"/>
      <c r="O31" s="999"/>
    </row>
    <row r="32" spans="5:15" hidden="1">
      <c r="E32" s="913"/>
      <c r="F32" s="923" t="s">
        <v>1115</v>
      </c>
      <c r="G32" s="924"/>
      <c r="H32" s="925"/>
      <c r="I32" s="926" t="s">
        <v>1364</v>
      </c>
      <c r="J32" s="929" t="e">
        <f>重み!M13</f>
        <v>#DIV/0!</v>
      </c>
      <c r="K32" s="923" t="s">
        <v>1968</v>
      </c>
      <c r="L32" s="924"/>
      <c r="M32" s="925"/>
      <c r="N32" s="926" t="s">
        <v>1364</v>
      </c>
      <c r="O32" s="929" t="e">
        <f>重み!N13</f>
        <v>#DIV/0!</v>
      </c>
    </row>
    <row r="33" spans="2:15" ht="13.5" hidden="1" thickBot="1">
      <c r="E33" s="913"/>
      <c r="F33" s="1000" t="e">
        <f>IF(J32=0,0,F44)</f>
        <v>#DIV/0!</v>
      </c>
      <c r="G33" s="935" t="s">
        <v>1116</v>
      </c>
      <c r="H33" s="935"/>
      <c r="I33" s="3151" t="s">
        <v>1117</v>
      </c>
      <c r="J33" s="3152"/>
      <c r="K33" s="1000" t="e">
        <f>IF(O32=0,0,IF(O44+K56=0,0,ROUND(G44*O44/(O44+K56)+G56*K56/(O44+K56),0)))</f>
        <v>#DIV/0!</v>
      </c>
      <c r="L33" s="1001" t="s">
        <v>1118</v>
      </c>
      <c r="M33" s="1002" t="s">
        <v>1119</v>
      </c>
      <c r="N33" s="3142" t="s">
        <v>2479</v>
      </c>
      <c r="O33" s="3143"/>
    </row>
    <row r="34" spans="2:15" ht="56.25" hidden="1" customHeight="1">
      <c r="E34" s="913"/>
      <c r="F34" s="942" t="e">
        <f>IF(F33=$S$14,$T$9,IF(ROUNDDOWN(F33,0)=$S$9,$U$9,$T$9))</f>
        <v>#DIV/0!</v>
      </c>
      <c r="G34" s="3144" t="s">
        <v>2480</v>
      </c>
      <c r="H34" s="3145"/>
      <c r="I34" s="3144" t="s">
        <v>2480</v>
      </c>
      <c r="J34" s="3145"/>
      <c r="K34" s="942" t="e">
        <f>IF(K33=$S$14,$T$9,IF(ROUNDDOWN(K33,0)=$S$9,$U$9,$T$9))</f>
        <v>#DIV/0!</v>
      </c>
      <c r="L34" s="1003" t="s">
        <v>2480</v>
      </c>
      <c r="M34" s="1003" t="s">
        <v>2480</v>
      </c>
      <c r="N34" s="3144" t="s">
        <v>2480</v>
      </c>
      <c r="O34" s="3150"/>
    </row>
    <row r="35" spans="2:15" ht="45" hidden="1" customHeight="1">
      <c r="E35" s="913"/>
      <c r="F35" s="942" t="e">
        <f>IF(F33=$S$14,$T$10,IF(ROUNDDOWN(F33,0)=$S$10,$U$10,$T$10))</f>
        <v>#DIV/0!</v>
      </c>
      <c r="G35" s="3148" t="s">
        <v>1681</v>
      </c>
      <c r="H35" s="3154"/>
      <c r="I35" s="3148" t="s">
        <v>1120</v>
      </c>
      <c r="J35" s="3154"/>
      <c r="K35" s="942" t="e">
        <f>IF(K33=$S$14,$T$10,IF(ROUNDDOWN(K33,0)=$S$10,$U$10,$T$10))</f>
        <v>#DIV/0!</v>
      </c>
      <c r="L35" s="950" t="s">
        <v>1681</v>
      </c>
      <c r="M35" s="950" t="s">
        <v>1120</v>
      </c>
      <c r="N35" s="3148"/>
      <c r="O35" s="3149"/>
    </row>
    <row r="36" spans="2:15" ht="45" hidden="1" customHeight="1">
      <c r="E36" s="913"/>
      <c r="F36" s="942" t="e">
        <f>IF(F33=$S$14,$T$11,IF(ROUNDDOWN(F33,0)=$S$11,$U$11,$T$11))</f>
        <v>#DIV/0!</v>
      </c>
      <c r="G36" s="3148" t="s">
        <v>1682</v>
      </c>
      <c r="H36" s="3154"/>
      <c r="I36" s="3148" t="s">
        <v>207</v>
      </c>
      <c r="J36" s="3154"/>
      <c r="K36" s="942" t="e">
        <f>IF(K33=$S$14,$T$11,IF(ROUNDDOWN(K33,0)=$S$11,$U$11,$T$11))</f>
        <v>#DIV/0!</v>
      </c>
      <c r="L36" s="950" t="s">
        <v>1682</v>
      </c>
      <c r="M36" s="950" t="s">
        <v>207</v>
      </c>
      <c r="N36" s="3148" t="s">
        <v>1683</v>
      </c>
      <c r="O36" s="3149"/>
    </row>
    <row r="37" spans="2:15" ht="56.25" hidden="1" customHeight="1">
      <c r="E37" s="913"/>
      <c r="F37" s="942" t="e">
        <f>IF(F33=$S$14,$T$12,IF(ROUNDDOWN(F33,0)=$S$12,$U$12,$T$12))</f>
        <v>#DIV/0!</v>
      </c>
      <c r="G37" s="3148" t="s">
        <v>1684</v>
      </c>
      <c r="H37" s="3154"/>
      <c r="I37" s="3148" t="s">
        <v>697</v>
      </c>
      <c r="J37" s="3154"/>
      <c r="K37" s="942" t="e">
        <f>IF(K33=$S$14,$T$12,IF(ROUNDDOWN(K33,0)=$S$12,$U$12,$T$12))</f>
        <v>#DIV/0!</v>
      </c>
      <c r="L37" s="950" t="s">
        <v>1684</v>
      </c>
      <c r="M37" s="950" t="s">
        <v>697</v>
      </c>
      <c r="N37" s="3148"/>
      <c r="O37" s="3149"/>
    </row>
    <row r="38" spans="2:15" ht="45" hidden="1" customHeight="1">
      <c r="E38" s="904"/>
      <c r="F38" s="953" t="e">
        <f>IF(F33=$S$14,$T$13,IF(ROUNDDOWN(F33,0)=$S$13,$U$13,$T$13))</f>
        <v>#DIV/0!</v>
      </c>
      <c r="G38" s="3146" t="s">
        <v>1685</v>
      </c>
      <c r="H38" s="3153"/>
      <c r="I38" s="3146" t="s">
        <v>1685</v>
      </c>
      <c r="J38" s="3153"/>
      <c r="K38" s="953" t="e">
        <f>IF(K33=$S$14,$T$13,IF(ROUNDDOWN(K33,0)=$S$13,$U$13,$T$13))</f>
        <v>#DIV/0!</v>
      </c>
      <c r="L38" s="954" t="s">
        <v>1685</v>
      </c>
      <c r="M38" s="954" t="s">
        <v>1685</v>
      </c>
      <c r="N38" s="3146" t="s">
        <v>1685</v>
      </c>
      <c r="O38" s="3147"/>
    </row>
    <row r="39" spans="2:15" hidden="1">
      <c r="E39" s="1004"/>
      <c r="F39" s="1005" t="s">
        <v>1686</v>
      </c>
      <c r="G39" s="1006"/>
      <c r="H39" s="1006"/>
      <c r="I39" s="1006"/>
      <c r="J39" s="1006"/>
      <c r="K39" s="1007"/>
      <c r="L39" s="1007"/>
      <c r="M39" s="1006"/>
      <c r="N39" s="1006"/>
      <c r="O39" s="1006"/>
    </row>
    <row r="40" spans="2:15" ht="13.5" hidden="1" thickBot="1">
      <c r="E40" s="1004"/>
      <c r="F40" s="1008"/>
      <c r="G40" s="1007" t="s">
        <v>1687</v>
      </c>
      <c r="H40" s="1007"/>
      <c r="I40" s="1009"/>
      <c r="J40" s="1007"/>
      <c r="K40" s="1007"/>
      <c r="L40" s="1007"/>
      <c r="M40" s="1007"/>
      <c r="N40" s="1007"/>
      <c r="O40" s="1007"/>
    </row>
    <row r="41" spans="2:15" ht="15.5" hidden="1">
      <c r="E41" s="1010"/>
      <c r="F41" s="1010"/>
      <c r="G41" s="1011"/>
      <c r="H41" s="1011"/>
      <c r="I41" s="1011"/>
      <c r="J41" s="1006"/>
      <c r="K41" s="1007"/>
      <c r="L41" s="1007"/>
      <c r="M41" s="1007"/>
      <c r="N41" s="1007"/>
      <c r="O41" s="1007"/>
    </row>
    <row r="42" spans="2:15" hidden="1">
      <c r="E42" s="1004"/>
      <c r="F42" s="1012" t="s">
        <v>698</v>
      </c>
      <c r="G42" s="1013" t="s">
        <v>699</v>
      </c>
      <c r="H42" s="1007"/>
      <c r="I42" s="1007"/>
      <c r="J42" s="1006"/>
      <c r="K42" s="1007"/>
      <c r="L42" s="1007"/>
      <c r="M42" s="1007"/>
      <c r="N42" s="1007"/>
      <c r="O42" s="1007"/>
    </row>
    <row r="43" spans="2:15" ht="14.25" hidden="1" customHeight="1" thickBot="1">
      <c r="E43" s="1004"/>
      <c r="F43" s="930">
        <v>0</v>
      </c>
      <c r="G43" s="930">
        <v>0</v>
      </c>
      <c r="H43" s="1014" t="s">
        <v>2666</v>
      </c>
      <c r="I43" s="1015" t="s">
        <v>2897</v>
      </c>
      <c r="J43" s="1007"/>
      <c r="K43" s="1006"/>
      <c r="L43" s="1007"/>
      <c r="M43" s="1007"/>
      <c r="N43" s="1007"/>
      <c r="O43" s="1007"/>
    </row>
    <row r="44" spans="2:15" hidden="1">
      <c r="B44" s="1">
        <v>1</v>
      </c>
      <c r="C44" s="1">
        <v>1</v>
      </c>
      <c r="E44" s="1004"/>
      <c r="F44" s="1016">
        <f>IF(I43=T4,F43,IF(AND(M44&lt;2000,F40=S4),IF($F$53&lt;1,1,IF($F$53&lt;2,2,IF($F$53&lt;3,3,IF($F$53&lt;4,4,5)))),IF($F$53&lt;2,1,IF($F$53&lt;4,2,IF($F$53&lt;6,3,IF($F$53&lt;8,4,5))))))</f>
        <v>0</v>
      </c>
      <c r="G44" s="1016">
        <f>IF(I43=T4,G43,IF(AND(M44&lt;2000,F40=S4),IF($G$53&lt;1,1,IF($G$53&lt;2,2,IF($G$53&lt;3,3,IF($G$53&lt;4,4,5)))),IF($G$53&lt;2,1,IF($G$53&lt;4,2,IF($G$53&lt;6,3,IF($G$53&lt;8,4,5))))))</f>
        <v>0</v>
      </c>
      <c r="H44" s="1017" t="s">
        <v>700</v>
      </c>
      <c r="I44" s="925"/>
      <c r="J44" s="1018" t="s">
        <v>701</v>
      </c>
      <c r="K44" s="1019"/>
      <c r="L44" s="1020" t="s">
        <v>2667</v>
      </c>
      <c r="M44" s="1021">
        <f>メイン!C19</f>
        <v>0</v>
      </c>
      <c r="N44" s="1022" t="s">
        <v>2581</v>
      </c>
      <c r="O44" s="1023">
        <f>メイン!L66-メイン!L64</f>
        <v>0</v>
      </c>
    </row>
    <row r="45" spans="2:15" ht="13.5" hidden="1" customHeight="1">
      <c r="B45" s="1">
        <v>2</v>
      </c>
      <c r="C45" s="1">
        <v>2</v>
      </c>
      <c r="E45" s="913"/>
      <c r="F45" s="1024" t="s">
        <v>2668</v>
      </c>
      <c r="G45" s="1024" t="s">
        <v>2668</v>
      </c>
      <c r="H45" s="3159" t="s">
        <v>2669</v>
      </c>
      <c r="I45" s="3160"/>
      <c r="J45" s="3155" t="s">
        <v>2670</v>
      </c>
      <c r="K45" s="3156"/>
      <c r="L45" s="1025"/>
      <c r="M45" s="1025"/>
      <c r="N45" s="1025"/>
      <c r="O45" s="1025"/>
    </row>
    <row r="46" spans="2:15" ht="13.5" hidden="1" customHeight="1">
      <c r="B46" s="1">
        <v>3</v>
      </c>
      <c r="C46" s="1">
        <v>3</v>
      </c>
      <c r="E46" s="913"/>
      <c r="F46" s="1026" t="s">
        <v>2671</v>
      </c>
      <c r="G46" s="1026" t="s">
        <v>2671</v>
      </c>
      <c r="H46" s="1027" t="s">
        <v>1668</v>
      </c>
      <c r="I46" s="1028"/>
      <c r="J46" s="1029" t="s">
        <v>1669</v>
      </c>
      <c r="K46" s="1028"/>
      <c r="L46" s="1025"/>
      <c r="M46" s="1025"/>
      <c r="N46" s="1025"/>
      <c r="O46" s="1025"/>
    </row>
    <row r="47" spans="2:15" ht="13.5" hidden="1" customHeight="1">
      <c r="B47" s="1">
        <v>4</v>
      </c>
      <c r="C47" s="1">
        <v>4</v>
      </c>
      <c r="E47" s="913"/>
      <c r="F47" s="1026" t="s">
        <v>2668</v>
      </c>
      <c r="G47" s="1026" t="s">
        <v>2671</v>
      </c>
      <c r="H47" s="1027" t="s">
        <v>1069</v>
      </c>
      <c r="I47" s="1028"/>
      <c r="J47" s="1029" t="s">
        <v>702</v>
      </c>
      <c r="K47" s="1028"/>
      <c r="L47" s="925" t="s">
        <v>1070</v>
      </c>
      <c r="M47" s="925"/>
      <c r="N47" s="925"/>
      <c r="O47" s="1030"/>
    </row>
    <row r="48" spans="2:15" ht="13.5" hidden="1" customHeight="1">
      <c r="B48" s="1">
        <v>5</v>
      </c>
      <c r="C48" s="1">
        <v>5</v>
      </c>
      <c r="E48" s="913"/>
      <c r="F48" s="1026" t="s">
        <v>2671</v>
      </c>
      <c r="G48" s="1026" t="s">
        <v>2668</v>
      </c>
      <c r="H48" s="1027" t="s">
        <v>1071</v>
      </c>
      <c r="I48" s="1028"/>
      <c r="J48" s="1029" t="s">
        <v>1072</v>
      </c>
      <c r="K48" s="1028"/>
      <c r="L48" s="1017" t="s">
        <v>703</v>
      </c>
      <c r="M48" s="1031"/>
      <c r="N48" s="1032" t="s">
        <v>704</v>
      </c>
      <c r="O48" s="1019"/>
    </row>
    <row r="49" spans="2:15" ht="13.5" hidden="1" customHeight="1">
      <c r="B49" s="960">
        <v>0</v>
      </c>
      <c r="C49" s="960">
        <v>0</v>
      </c>
      <c r="E49" s="913"/>
      <c r="F49" s="1026" t="s">
        <v>2671</v>
      </c>
      <c r="G49" s="1026" t="s">
        <v>2668</v>
      </c>
      <c r="H49" s="1027" t="s">
        <v>1073</v>
      </c>
      <c r="I49" s="1028"/>
      <c r="J49" s="3155" t="s">
        <v>1074</v>
      </c>
      <c r="K49" s="3160"/>
      <c r="L49" s="3157" t="s">
        <v>2465</v>
      </c>
      <c r="M49" s="3160"/>
      <c r="N49" s="3155" t="s">
        <v>2481</v>
      </c>
      <c r="O49" s="3156"/>
    </row>
    <row r="50" spans="2:15" ht="13.5" hidden="1" customHeight="1">
      <c r="E50" s="913"/>
      <c r="F50" s="1026" t="s">
        <v>2671</v>
      </c>
      <c r="G50" s="1026" t="s">
        <v>2668</v>
      </c>
      <c r="H50" s="1027" t="s">
        <v>1071</v>
      </c>
      <c r="I50" s="1028"/>
      <c r="J50" s="3155" t="s">
        <v>2482</v>
      </c>
      <c r="K50" s="3158"/>
      <c r="L50" s="3157" t="s">
        <v>2483</v>
      </c>
      <c r="M50" s="3156"/>
      <c r="N50" s="3155" t="s">
        <v>2484</v>
      </c>
      <c r="O50" s="3156"/>
    </row>
    <row r="51" spans="2:15" ht="13.5" hidden="1" customHeight="1">
      <c r="E51" s="913"/>
      <c r="F51" s="1026" t="s">
        <v>2668</v>
      </c>
      <c r="G51" s="1026" t="s">
        <v>2671</v>
      </c>
      <c r="H51" s="1027" t="s">
        <v>705</v>
      </c>
      <c r="I51" s="1028"/>
      <c r="J51" s="1029" t="s">
        <v>2485</v>
      </c>
      <c r="K51" s="1028"/>
      <c r="L51" s="3157" t="s">
        <v>2486</v>
      </c>
      <c r="M51" s="3156"/>
      <c r="N51" s="3155" t="s">
        <v>2487</v>
      </c>
      <c r="O51" s="3156"/>
    </row>
    <row r="52" spans="2:15" ht="14.25" hidden="1" customHeight="1" thickBot="1">
      <c r="E52" s="913"/>
      <c r="F52" s="1033" t="s">
        <v>2671</v>
      </c>
      <c r="G52" s="1033" t="s">
        <v>2671</v>
      </c>
      <c r="H52" s="1027" t="s">
        <v>1171</v>
      </c>
      <c r="I52" s="1028"/>
      <c r="J52" s="1029" t="s">
        <v>2488</v>
      </c>
      <c r="K52" s="1028"/>
      <c r="L52" s="3157" t="s">
        <v>2158</v>
      </c>
      <c r="M52" s="3156"/>
      <c r="N52" s="3155" t="s">
        <v>2159</v>
      </c>
      <c r="O52" s="3156"/>
    </row>
    <row r="53" spans="2:15" ht="13.5" hidden="1" customHeight="1">
      <c r="E53" s="913"/>
      <c r="F53" s="1034">
        <f>IF(F40=S4,COUNTIF(F49:F52,S4),COUNTIF(F45:F52,S4))</f>
        <v>5</v>
      </c>
      <c r="G53" s="1035">
        <f>IF(F40=S4,COUNTIF(G49:G52,S4),COUNTIF(G45:G52,S4))</f>
        <v>4</v>
      </c>
      <c r="H53" s="1025" t="s">
        <v>2160</v>
      </c>
      <c r="I53" s="1036"/>
      <c r="J53" s="1036"/>
      <c r="K53" s="1036"/>
      <c r="L53" s="1007"/>
      <c r="M53" s="1007"/>
      <c r="N53" s="1007"/>
      <c r="O53" s="1007"/>
    </row>
    <row r="54" spans="2:15" hidden="1">
      <c r="E54" s="913"/>
      <c r="F54" s="904"/>
      <c r="G54" s="1037" t="s">
        <v>2161</v>
      </c>
      <c r="H54" s="1025"/>
      <c r="I54" s="1036"/>
      <c r="J54" s="1036"/>
      <c r="K54" s="1007"/>
      <c r="L54" s="1007"/>
      <c r="M54" s="1007"/>
      <c r="N54" s="1007"/>
      <c r="O54" s="1007"/>
    </row>
    <row r="55" spans="2:15" ht="16" hidden="1" thickBot="1">
      <c r="E55" s="908"/>
      <c r="F55" s="904"/>
      <c r="G55" s="930">
        <v>0</v>
      </c>
      <c r="H55" s="1014" t="s">
        <v>2666</v>
      </c>
      <c r="I55" s="1015" t="s">
        <v>2897</v>
      </c>
      <c r="J55" s="1007"/>
      <c r="K55" s="1007"/>
      <c r="L55" s="1025"/>
      <c r="M55" s="1025"/>
      <c r="N55" s="1025"/>
      <c r="O55" s="1025"/>
    </row>
    <row r="56" spans="2:15" ht="15.5" hidden="1">
      <c r="B56" s="1">
        <v>1</v>
      </c>
      <c r="C56" s="1">
        <v>1</v>
      </c>
      <c r="E56" s="908"/>
      <c r="F56" s="1038"/>
      <c r="G56" s="3163">
        <f>IF(I55=T4,G55,IF($G$63&lt;2,1,IF($G$63&lt;2,2,IF($G$63&lt;4,3,IF($G$63&lt;5,4,5)))))</f>
        <v>0</v>
      </c>
      <c r="H56" s="1039" t="s">
        <v>2162</v>
      </c>
      <c r="I56" s="1039"/>
      <c r="J56" s="1039" t="s">
        <v>2581</v>
      </c>
      <c r="K56" s="1023">
        <f>メイン!L64</f>
        <v>0</v>
      </c>
      <c r="L56" s="1007"/>
      <c r="M56" s="1007"/>
      <c r="N56" s="1007"/>
      <c r="O56" s="1007"/>
    </row>
    <row r="57" spans="2:15" ht="15.5" hidden="1">
      <c r="B57" s="1">
        <v>2</v>
      </c>
      <c r="C57" s="1">
        <v>2</v>
      </c>
      <c r="E57" s="908"/>
      <c r="F57" s="1038"/>
      <c r="G57" s="3163"/>
      <c r="H57" s="1017" t="s">
        <v>700</v>
      </c>
      <c r="I57" s="935"/>
      <c r="J57" s="1032" t="s">
        <v>701</v>
      </c>
      <c r="K57" s="1019"/>
      <c r="L57" s="1007"/>
      <c r="M57" s="1007"/>
      <c r="N57" s="1007"/>
      <c r="O57" s="1007"/>
    </row>
    <row r="58" spans="2:15" ht="15.75" hidden="1" customHeight="1">
      <c r="B58" s="1">
        <v>3</v>
      </c>
      <c r="C58" s="1">
        <v>3</v>
      </c>
      <c r="E58" s="908"/>
      <c r="F58" s="904"/>
      <c r="G58" s="1024" t="s">
        <v>2671</v>
      </c>
      <c r="H58" s="3159" t="s">
        <v>2163</v>
      </c>
      <c r="I58" s="3156"/>
      <c r="J58" s="3155" t="s">
        <v>2817</v>
      </c>
      <c r="K58" s="3156"/>
      <c r="L58" s="1025"/>
      <c r="M58" s="1025"/>
      <c r="N58" s="1025"/>
      <c r="O58" s="1025"/>
    </row>
    <row r="59" spans="2:15" ht="15.75" hidden="1" customHeight="1">
      <c r="B59" s="1">
        <v>4</v>
      </c>
      <c r="C59" s="1">
        <v>4</v>
      </c>
      <c r="E59" s="908"/>
      <c r="F59" s="904"/>
      <c r="G59" s="1026" t="s">
        <v>2671</v>
      </c>
      <c r="H59" s="1027" t="s">
        <v>2818</v>
      </c>
      <c r="I59" s="1028"/>
      <c r="J59" s="3155" t="s">
        <v>2819</v>
      </c>
      <c r="K59" s="3156"/>
      <c r="L59" s="1025"/>
      <c r="M59" s="1025"/>
      <c r="N59" s="1025"/>
      <c r="O59" s="1025"/>
    </row>
    <row r="60" spans="2:15" ht="15.75" hidden="1" customHeight="1">
      <c r="B60" s="1">
        <v>5</v>
      </c>
      <c r="C60" s="1">
        <v>5</v>
      </c>
      <c r="E60" s="908"/>
      <c r="F60" s="904"/>
      <c r="G60" s="1026"/>
      <c r="H60" s="1027" t="s">
        <v>2820</v>
      </c>
      <c r="I60" s="1028"/>
      <c r="J60" s="3155" t="s">
        <v>2821</v>
      </c>
      <c r="K60" s="3156"/>
      <c r="L60" s="1025"/>
      <c r="M60" s="1025"/>
      <c r="N60" s="1025"/>
      <c r="O60" s="1025"/>
    </row>
    <row r="61" spans="2:15" ht="15.75" hidden="1" customHeight="1">
      <c r="B61" s="960">
        <v>0</v>
      </c>
      <c r="C61" s="960">
        <v>0</v>
      </c>
      <c r="E61" s="908"/>
      <c r="F61" s="904"/>
      <c r="G61" s="1026" t="s">
        <v>2668</v>
      </c>
      <c r="H61" s="1027" t="s">
        <v>2822</v>
      </c>
      <c r="I61" s="1028"/>
      <c r="J61" s="3155" t="s">
        <v>2823</v>
      </c>
      <c r="K61" s="3156"/>
      <c r="L61" s="1025"/>
      <c r="M61" s="1025"/>
      <c r="N61" s="1025"/>
      <c r="O61" s="1025"/>
    </row>
    <row r="62" spans="2:15" ht="16.5" hidden="1" customHeight="1" thickBot="1">
      <c r="E62" s="908"/>
      <c r="F62" s="904"/>
      <c r="G62" s="1033" t="s">
        <v>2671</v>
      </c>
      <c r="H62" s="1027" t="s">
        <v>2824</v>
      </c>
      <c r="I62" s="1028"/>
      <c r="J62" s="3155" t="s">
        <v>2821</v>
      </c>
      <c r="K62" s="3156"/>
      <c r="L62" s="1025"/>
      <c r="M62" s="1025"/>
      <c r="N62" s="1025"/>
      <c r="O62" s="1025"/>
    </row>
    <row r="63" spans="2:15" ht="15.75" hidden="1" customHeight="1">
      <c r="E63" s="908"/>
      <c r="F63" s="904"/>
      <c r="G63" s="1035">
        <f>COUNTIF(G58:G62,S4)</f>
        <v>3</v>
      </c>
      <c r="H63" s="1025" t="s">
        <v>2160</v>
      </c>
      <c r="I63" s="1040"/>
      <c r="J63" s="1025"/>
      <c r="K63" s="1025"/>
      <c r="L63" s="1025"/>
      <c r="M63" s="1025"/>
      <c r="N63" s="1025"/>
      <c r="O63" s="1025"/>
    </row>
    <row r="64" spans="2:15" ht="9" customHeight="1">
      <c r="E64" s="908"/>
      <c r="F64" s="1041"/>
      <c r="G64" s="1025"/>
      <c r="H64" s="1025"/>
      <c r="I64" s="1025"/>
      <c r="J64" s="1025"/>
      <c r="K64" s="1025"/>
      <c r="L64" s="1025"/>
      <c r="M64" s="1025"/>
      <c r="N64" s="1025"/>
      <c r="O64" s="1025"/>
    </row>
    <row r="65" spans="2:15" ht="15.5">
      <c r="D65" s="1326">
        <v>1.2</v>
      </c>
      <c r="E65" s="1042" t="s">
        <v>2825</v>
      </c>
      <c r="F65" s="915"/>
      <c r="G65" s="1043"/>
      <c r="H65" s="1044"/>
      <c r="I65" s="1044"/>
      <c r="J65" s="1044"/>
      <c r="K65" s="1043"/>
      <c r="L65" s="1044"/>
      <c r="M65" s="1044"/>
      <c r="N65" s="1044"/>
      <c r="O65" s="1044"/>
    </row>
    <row r="66" spans="2:15" ht="15.5">
      <c r="D66" s="903"/>
      <c r="E66" s="904"/>
      <c r="F66" s="919" t="s">
        <v>2826</v>
      </c>
      <c r="G66" s="996"/>
      <c r="H66" s="1045"/>
      <c r="I66" s="1025"/>
      <c r="J66" s="999" t="e">
        <f>IF(OR(F68=0,AND(J67=0,O67=0)),$R$3,"")</f>
        <v>#DIV/0!</v>
      </c>
      <c r="K66" s="995"/>
      <c r="L66" s="996"/>
      <c r="M66" s="1045"/>
      <c r="N66" s="1025"/>
      <c r="O66" s="999"/>
    </row>
    <row r="67" spans="2:15" ht="17.25" customHeight="1" thickBot="1">
      <c r="D67" s="908"/>
      <c r="E67" s="909"/>
      <c r="F67" s="923" t="s">
        <v>1172</v>
      </c>
      <c r="G67" s="924"/>
      <c r="H67" s="925"/>
      <c r="I67" s="926" t="s">
        <v>1364</v>
      </c>
      <c r="J67" s="929" t="e">
        <f>重み!M15</f>
        <v>#DIV/0!</v>
      </c>
      <c r="K67" s="923" t="s">
        <v>1968</v>
      </c>
      <c r="L67" s="924"/>
      <c r="M67" s="925"/>
      <c r="N67" s="926" t="s">
        <v>1364</v>
      </c>
      <c r="O67" s="929" t="e">
        <f>重み!N15</f>
        <v>#DIV/0!</v>
      </c>
    </row>
    <row r="68" spans="2:15" ht="27" customHeight="1" thickBot="1">
      <c r="D68" s="908"/>
      <c r="E68" s="909"/>
      <c r="F68" s="930">
        <v>3</v>
      </c>
      <c r="G68" s="1046" t="s">
        <v>2828</v>
      </c>
      <c r="H68" s="935"/>
      <c r="I68" s="935"/>
      <c r="J68" s="936"/>
      <c r="K68" s="930">
        <v>3</v>
      </c>
      <c r="L68" s="1046" t="s">
        <v>1173</v>
      </c>
      <c r="M68" s="935"/>
      <c r="N68" s="935"/>
      <c r="O68" s="936"/>
    </row>
    <row r="69" spans="2:15" ht="15.5" hidden="1">
      <c r="B69" s="1">
        <v>1</v>
      </c>
      <c r="C69" s="1">
        <v>1</v>
      </c>
      <c r="D69" s="908"/>
      <c r="E69" s="909"/>
      <c r="F69" s="1047"/>
      <c r="G69" s="1046" t="s">
        <v>1266</v>
      </c>
      <c r="H69" s="935"/>
      <c r="I69" s="935"/>
      <c r="J69" s="936"/>
      <c r="K69" s="1047"/>
      <c r="L69" s="1046" t="s">
        <v>1266</v>
      </c>
      <c r="M69" s="935"/>
      <c r="N69" s="935"/>
      <c r="O69" s="936"/>
    </row>
    <row r="70" spans="2:15" ht="15.5" hidden="1">
      <c r="B70" s="1" t="s">
        <v>2898</v>
      </c>
      <c r="C70" s="1" t="s">
        <v>2898</v>
      </c>
      <c r="D70" s="908"/>
      <c r="E70" s="909"/>
      <c r="F70" s="942" t="str">
        <f>IF(F68=$S$14,$T$9,IF(AND($O$3=$U$3,ROUNDDOWN(F68,0)=$S$9),$U$9,$T$9))</f>
        <v>　レベル　1</v>
      </c>
      <c r="G70" s="939" t="s">
        <v>1174</v>
      </c>
      <c r="H70" s="940"/>
      <c r="I70" s="940"/>
      <c r="J70" s="941"/>
      <c r="K70" s="942" t="str">
        <f>IF(K68=$S$14,$T$9,IF(AND($O$3=$U$3,ROUNDDOWN(K68,0)=$S$9),$U$9,$T$9))</f>
        <v>　レベル　1</v>
      </c>
      <c r="L70" s="939" t="s">
        <v>2829</v>
      </c>
      <c r="M70" s="940"/>
      <c r="N70" s="940"/>
      <c r="O70" s="941"/>
    </row>
    <row r="71" spans="2:15" ht="15.5" hidden="1">
      <c r="B71" s="1">
        <v>3</v>
      </c>
      <c r="C71" s="1">
        <v>3</v>
      </c>
      <c r="D71" s="908"/>
      <c r="E71" s="909"/>
      <c r="F71" s="942" t="str">
        <f>IF(F68=$S$14,$T$10,IF(AND($O$3=$U$3,ROUNDDOWN(F68,0)=$S$10),$U$10,$T$10))</f>
        <v>　レベル　2</v>
      </c>
      <c r="G71" s="946"/>
      <c r="H71" s="947"/>
      <c r="I71" s="947"/>
      <c r="J71" s="948"/>
      <c r="K71" s="942" t="str">
        <f>IF(K68=$S$14,$T$10,IF(AND($O$3=$U$3,ROUNDDOWN(K68,0)=$S$10),$U$10,$T$10))</f>
        <v>　レベル　2</v>
      </c>
      <c r="L71" s="946"/>
      <c r="M71" s="947"/>
      <c r="N71" s="947"/>
      <c r="O71" s="948"/>
    </row>
    <row r="72" spans="2:15" ht="15.5" hidden="1">
      <c r="B72" s="1" t="s">
        <v>2898</v>
      </c>
      <c r="C72" s="1" t="s">
        <v>2898</v>
      </c>
      <c r="D72" s="908"/>
      <c r="E72" s="909"/>
      <c r="F72" s="942" t="str">
        <f>IF(F68=$S$14,$T$11,IF(AND($O$3=$U$3,ROUNDDOWN(F68,0)=$S$11),$U$11,$T$11))</f>
        <v>　レベル　3</v>
      </c>
      <c r="G72" s="946" t="s">
        <v>1175</v>
      </c>
      <c r="H72" s="947"/>
      <c r="I72" s="947"/>
      <c r="J72" s="948"/>
      <c r="K72" s="942" t="str">
        <f>IF(K68=$S$14,$T$11,IF(AND($O$3=$U$3,ROUNDDOWN(K68,0)=$S$11),$U$11,$T$11))</f>
        <v>　レベル　3</v>
      </c>
      <c r="L72" s="946" t="s">
        <v>2830</v>
      </c>
      <c r="M72" s="947"/>
      <c r="N72" s="947"/>
      <c r="O72" s="948"/>
    </row>
    <row r="73" spans="2:15" ht="15.5" hidden="1">
      <c r="B73" s="1">
        <v>5</v>
      </c>
      <c r="C73" s="1">
        <v>5</v>
      </c>
      <c r="D73" s="908"/>
      <c r="E73" s="909"/>
      <c r="F73" s="942" t="str">
        <f>IF(F68=$S$14,$T$12,IF(AND($O$3=$U$3,ROUNDDOWN(F68,0)=$S$12),$U$12,$T$12))</f>
        <v>　レベル　4</v>
      </c>
      <c r="G73" s="946"/>
      <c r="H73" s="947"/>
      <c r="I73" s="947"/>
      <c r="J73" s="948"/>
      <c r="K73" s="942" t="str">
        <f>IF(K68=$S$14,$T$12,IF(AND($O$3=$U$3,ROUNDDOWN(K68,0)=$S$12),$U$12,$T$12))</f>
        <v>　レベル　4</v>
      </c>
      <c r="L73" s="946"/>
      <c r="M73" s="947"/>
      <c r="N73" s="947"/>
      <c r="O73" s="948"/>
    </row>
    <row r="74" spans="2:15" ht="15.5" hidden="1">
      <c r="B74" s="960">
        <v>0</v>
      </c>
      <c r="C74" s="960">
        <v>0</v>
      </c>
      <c r="D74" s="908"/>
      <c r="E74" s="909"/>
      <c r="F74" s="953" t="str">
        <f>IF(F68=$S$14,$T$13,IF(AND($O$3=$U$3,ROUNDDOWN(F68,0)=$S$13),$U$13,$T$13))</f>
        <v>　レベル　5</v>
      </c>
      <c r="G74" s="957" t="s">
        <v>2831</v>
      </c>
      <c r="H74" s="958"/>
      <c r="I74" s="958"/>
      <c r="J74" s="959"/>
      <c r="K74" s="953" t="str">
        <f>IF(K68=$S$14,$T$13,IF(AND($O$3=$U$3,ROUNDDOWN(K68,0)=$S$13),$U$13,$T$13))</f>
        <v>　レベル　5</v>
      </c>
      <c r="L74" s="957" t="s">
        <v>2832</v>
      </c>
      <c r="M74" s="958"/>
      <c r="N74" s="958"/>
      <c r="O74" s="959"/>
    </row>
    <row r="75" spans="2:15" ht="15.5" hidden="1">
      <c r="D75" s="908"/>
      <c r="E75" s="913"/>
      <c r="F75" s="1046"/>
      <c r="G75" s="1046" t="s">
        <v>1265</v>
      </c>
      <c r="H75" s="935"/>
      <c r="I75" s="935"/>
      <c r="J75" s="936"/>
      <c r="K75" s="1048"/>
      <c r="L75" s="1046" t="s">
        <v>1265</v>
      </c>
      <c r="M75" s="935"/>
      <c r="N75" s="935"/>
      <c r="O75" s="936"/>
    </row>
    <row r="76" spans="2:15" ht="15.5">
      <c r="D76" s="908"/>
      <c r="E76" s="913"/>
      <c r="F76" s="1049" t="str">
        <f>IF(F68=$S$14,$T$9,IF(AND($O$3&lt;&gt;$U$3,ROUNDDOWN(F68,0)=$S$9),$U$9,$T$9))</f>
        <v>　レベル　1</v>
      </c>
      <c r="G76" s="939" t="s">
        <v>1176</v>
      </c>
      <c r="H76" s="940"/>
      <c r="I76" s="940"/>
      <c r="J76" s="941"/>
      <c r="K76" s="1049" t="str">
        <f>IF(K68=$S$14,$T$9,IF(AND($O$3&lt;&gt;$U$3,ROUNDDOWN(K68,0)=$S$9),$U$9,$T$9))</f>
        <v>　レベル　1</v>
      </c>
      <c r="L76" s="939" t="s">
        <v>1176</v>
      </c>
      <c r="M76" s="940"/>
      <c r="N76" s="940"/>
      <c r="O76" s="941"/>
    </row>
    <row r="77" spans="2:15" ht="15.5">
      <c r="D77" s="908"/>
      <c r="E77" s="913"/>
      <c r="F77" s="942" t="str">
        <f>IF(F68=$S$14,$T$10,IF(AND($O$3&lt;&gt;$U$3,ROUNDDOWN(F68,0)=$S$10),$U$10,$T$10))</f>
        <v>　レベル　2</v>
      </c>
      <c r="G77" s="946" t="s">
        <v>2178</v>
      </c>
      <c r="H77" s="947"/>
      <c r="I77" s="947"/>
      <c r="J77" s="948"/>
      <c r="K77" s="942" t="str">
        <f>IF(K68=$S$14,$T$10,IF(AND($O$3&lt;&gt;$U$3,ROUNDDOWN(K68,0)=$S$10),$U$10,$T$10))</f>
        <v>　レベル　2</v>
      </c>
      <c r="L77" s="946" t="s">
        <v>2178</v>
      </c>
      <c r="M77" s="947"/>
      <c r="N77" s="947"/>
      <c r="O77" s="948"/>
    </row>
    <row r="78" spans="2:15" ht="15.5">
      <c r="D78" s="908"/>
      <c r="E78" s="913"/>
      <c r="F78" s="942" t="str">
        <f>IF(F68=$S$14,$T$11,IF(AND($O$3&lt;&gt;$U$3,ROUNDDOWN(F68,0)=$S$11),$U$11,$T$11))</f>
        <v>■レベル　3</v>
      </c>
      <c r="G78" s="946" t="s">
        <v>1177</v>
      </c>
      <c r="H78" s="947"/>
      <c r="I78" s="947"/>
      <c r="J78" s="948"/>
      <c r="K78" s="942" t="str">
        <f>IF(K68=$S$14,$T$11,IF(AND($O$3&lt;&gt;$U$3,ROUNDDOWN(K68,0)=$S$11),$U$11,$T$11))</f>
        <v>■レベル　3</v>
      </c>
      <c r="L78" s="946" t="s">
        <v>1177</v>
      </c>
      <c r="M78" s="947"/>
      <c r="N78" s="947"/>
      <c r="O78" s="948"/>
    </row>
    <row r="79" spans="2:15" ht="15.5">
      <c r="D79" s="908"/>
      <c r="E79" s="913"/>
      <c r="F79" s="942" t="str">
        <f>IF(F68=$S$14,$T$12,IF(AND($O$3&lt;&gt;$U$3,ROUNDDOWN(F68,0)=$S$12),$U$12,$T$12))</f>
        <v>　レベル　4</v>
      </c>
      <c r="G79" s="946" t="s">
        <v>2178</v>
      </c>
      <c r="H79" s="947"/>
      <c r="I79" s="947"/>
      <c r="J79" s="948"/>
      <c r="K79" s="942" t="str">
        <f>IF(K68=$S$14,$T$12,IF(AND($O$3&lt;&gt;$U$3,ROUNDDOWN(K68,0)=$S$12),$U$12,$T$12))</f>
        <v>　レベル　4</v>
      </c>
      <c r="L79" s="946" t="s">
        <v>2178</v>
      </c>
      <c r="M79" s="947"/>
      <c r="N79" s="947"/>
      <c r="O79" s="948"/>
    </row>
    <row r="80" spans="2:15" ht="15.5">
      <c r="D80" s="908"/>
      <c r="E80" s="913"/>
      <c r="F80" s="953" t="str">
        <f>IF(F68=$S$14,$T$13,IF(AND($O$3&lt;&gt;$U$3,ROUNDDOWN(F68,0)=$S$13),$U$13,$T$13))</f>
        <v>　レベル　5</v>
      </c>
      <c r="G80" s="957" t="s">
        <v>1178</v>
      </c>
      <c r="H80" s="958"/>
      <c r="I80" s="958"/>
      <c r="J80" s="959"/>
      <c r="K80" s="953" t="str">
        <f>IF(K68=$S$14,$T$13,IF(AND($O$3&lt;&gt;$U$3,ROUNDDOWN(K68,0)=$S$13),$U$13,$T$13))</f>
        <v>　レベル　5</v>
      </c>
      <c r="L80" s="957" t="s">
        <v>1178</v>
      </c>
      <c r="M80" s="958"/>
      <c r="N80" s="958"/>
      <c r="O80" s="959"/>
    </row>
    <row r="81" spans="2:15" ht="15.5">
      <c r="D81" s="908"/>
      <c r="E81" s="913"/>
      <c r="F81" s="913"/>
      <c r="G81" s="1050"/>
      <c r="H81" s="1050"/>
      <c r="I81" s="1050"/>
      <c r="J81" s="1050"/>
      <c r="K81" s="1050"/>
      <c r="L81" s="1050"/>
      <c r="M81" s="1050"/>
      <c r="N81" s="1050"/>
      <c r="O81" s="1050"/>
    </row>
    <row r="82" spans="2:15" ht="15.5">
      <c r="D82" s="903"/>
      <c r="E82" s="904"/>
      <c r="F82" s="919" t="s">
        <v>1179</v>
      </c>
      <c r="G82" s="996"/>
      <c r="H82" s="1045"/>
      <c r="I82" s="1025"/>
      <c r="J82" s="999" t="e">
        <f>IF(OR(F84=0,AND(J83=0,O83=0)),$R$3,"")</f>
        <v>#DIV/0!</v>
      </c>
      <c r="K82" s="995"/>
      <c r="L82" s="996"/>
      <c r="M82" s="1045"/>
      <c r="N82" s="1025"/>
      <c r="O82" s="1025"/>
    </row>
    <row r="83" spans="2:15" ht="15.75" customHeight="1" thickBot="1">
      <c r="D83" s="908"/>
      <c r="E83" s="909"/>
      <c r="F83" s="923" t="s">
        <v>1856</v>
      </c>
      <c r="G83" s="924"/>
      <c r="H83" s="925"/>
      <c r="I83" s="926" t="s">
        <v>1364</v>
      </c>
      <c r="J83" s="929" t="e">
        <f>重み!M16</f>
        <v>#DIV/0!</v>
      </c>
      <c r="K83" s="923" t="s">
        <v>1968</v>
      </c>
      <c r="L83" s="924"/>
      <c r="M83" s="925"/>
      <c r="N83" s="926" t="s">
        <v>1364</v>
      </c>
      <c r="O83" s="929" t="e">
        <f>重み!N16</f>
        <v>#DIV/0!</v>
      </c>
    </row>
    <row r="84" spans="2:15" ht="27" customHeight="1" thickBot="1">
      <c r="D84" s="908"/>
      <c r="E84" s="909"/>
      <c r="F84" s="930">
        <v>3</v>
      </c>
      <c r="G84" s="935" t="s">
        <v>1081</v>
      </c>
      <c r="H84" s="935"/>
      <c r="I84" s="1046" t="s">
        <v>1082</v>
      </c>
      <c r="J84" s="936"/>
      <c r="K84" s="930">
        <v>3</v>
      </c>
      <c r="L84" s="1046" t="s">
        <v>1366</v>
      </c>
      <c r="M84" s="936"/>
      <c r="N84" s="1046"/>
      <c r="O84" s="1051"/>
    </row>
    <row r="85" spans="2:15" ht="15.5" hidden="1">
      <c r="B85" s="1">
        <v>1</v>
      </c>
      <c r="C85" s="1">
        <v>1</v>
      </c>
      <c r="D85" s="908"/>
      <c r="E85" s="909"/>
      <c r="F85" s="1047"/>
      <c r="G85" s="935" t="s">
        <v>1266</v>
      </c>
      <c r="H85" s="1052"/>
      <c r="I85" s="1052"/>
      <c r="J85" s="1053"/>
      <c r="K85" s="1047"/>
      <c r="L85" s="935" t="s">
        <v>1266</v>
      </c>
      <c r="M85" s="1052"/>
      <c r="N85" s="1052"/>
      <c r="O85" s="1053"/>
    </row>
    <row r="86" spans="2:15" ht="30" hidden="1" customHeight="1">
      <c r="B86" s="1">
        <v>2</v>
      </c>
      <c r="C86" s="1">
        <v>2</v>
      </c>
      <c r="D86" s="908"/>
      <c r="E86" s="909"/>
      <c r="F86" s="942" t="str">
        <f>IF(F84=$S$14,$T$9,IF(AND($O$3=$U$3,ROUNDDOWN(F84,0)=$S$9),$U$9,$T$9))</f>
        <v>　レベル　1</v>
      </c>
      <c r="G86" s="1054" t="s">
        <v>1181</v>
      </c>
      <c r="H86" s="1055"/>
      <c r="I86" s="1054" t="s">
        <v>2650</v>
      </c>
      <c r="J86" s="1055"/>
      <c r="K86" s="942" t="str">
        <f>IF(K84=$S$14,$T$9,IF(AND($O$3=$U$3,ROUNDDOWN(K84,0)=$S$9),$U$9,$T$9))</f>
        <v>　レベル　1</v>
      </c>
      <c r="L86" s="3161" t="s">
        <v>315</v>
      </c>
      <c r="M86" s="3162"/>
      <c r="N86" s="3144" t="s">
        <v>316</v>
      </c>
      <c r="O86" s="3150"/>
    </row>
    <row r="87" spans="2:15" ht="30" hidden="1" customHeight="1">
      <c r="B87" s="1">
        <v>3</v>
      </c>
      <c r="C87" s="1">
        <v>3</v>
      </c>
      <c r="D87" s="908"/>
      <c r="E87" s="909"/>
      <c r="F87" s="942" t="str">
        <f>IF(F84=$S$14,$T$10,IF(AND($O$3=$U$3,ROUNDDOWN(F84,0)=$S$10),$U$10,$T$10))</f>
        <v>　レベル　2</v>
      </c>
      <c r="G87" s="946"/>
      <c r="H87" s="947"/>
      <c r="I87" s="946"/>
      <c r="J87" s="947"/>
      <c r="K87" s="942" t="str">
        <f>IF(K84=$S$14,$T$10,IF(AND($O$3=$U$3,ROUNDDOWN(K84,0)=$S$10),$U$10,$T$10))</f>
        <v>　レベル　2</v>
      </c>
      <c r="L87" s="945"/>
      <c r="M87" s="1056"/>
      <c r="N87" s="950"/>
      <c r="O87" s="1056"/>
    </row>
    <row r="88" spans="2:15" ht="30" hidden="1" customHeight="1">
      <c r="B88" s="1">
        <v>4</v>
      </c>
      <c r="C88" s="1">
        <v>4</v>
      </c>
      <c r="D88" s="908"/>
      <c r="E88" s="909"/>
      <c r="F88" s="942" t="str">
        <f>IF(F84=$S$14,$T$11,IF(AND($O$3=$U$3,ROUNDDOWN(F84,0)=$S$11),$U$11,$T$11))</f>
        <v>　レベル　3</v>
      </c>
      <c r="G88" s="946" t="s">
        <v>317</v>
      </c>
      <c r="H88" s="947"/>
      <c r="I88" s="946" t="s">
        <v>318</v>
      </c>
      <c r="J88" s="947"/>
      <c r="K88" s="942" t="str">
        <f>IF(K84=$S$14,$T$11,IF(AND($O$3=$U$3,ROUNDDOWN(K84,0)=$S$11),$U$11,$T$11))</f>
        <v>　レベル　3</v>
      </c>
      <c r="L88" s="3166" t="s">
        <v>319</v>
      </c>
      <c r="M88" s="3149"/>
      <c r="N88" s="3148" t="s">
        <v>320</v>
      </c>
      <c r="O88" s="3149"/>
    </row>
    <row r="89" spans="2:15" ht="30" hidden="1" customHeight="1">
      <c r="B89" s="1">
        <v>5</v>
      </c>
      <c r="C89" s="1">
        <v>5</v>
      </c>
      <c r="D89" s="908"/>
      <c r="E89" s="909"/>
      <c r="F89" s="942" t="str">
        <f>IF(F84=$S$14,$T$12,IF(AND($O$3=$U$3,ROUNDDOWN(F84,0)=$S$12),$U$12,$T$12))</f>
        <v>　レベル　4</v>
      </c>
      <c r="G89" s="946" t="s">
        <v>2651</v>
      </c>
      <c r="H89" s="947"/>
      <c r="I89" s="946" t="s">
        <v>2651</v>
      </c>
      <c r="J89" s="947"/>
      <c r="K89" s="942" t="str">
        <f>IF(K84=$S$14,$T$12,IF(AND($O$3=$U$3,ROUNDDOWN(K84,0)=$S$12),$U$12,$T$12))</f>
        <v>　レベル　4</v>
      </c>
      <c r="L89" s="945"/>
      <c r="M89" s="1056"/>
      <c r="N89" s="950"/>
      <c r="O89" s="1056"/>
    </row>
    <row r="90" spans="2:15" ht="30" hidden="1" customHeight="1">
      <c r="B90" s="960">
        <v>0</v>
      </c>
      <c r="C90" s="960">
        <v>0</v>
      </c>
      <c r="D90" s="908"/>
      <c r="E90" s="909"/>
      <c r="F90" s="953" t="str">
        <f>IF(F84=$S$14,$T$13,IF(AND($O$3=$U$3,ROUNDDOWN(F84,0)=$S$13),$U$13,$T$13))</f>
        <v>　レベル　5</v>
      </c>
      <c r="G90" s="957" t="s">
        <v>2652</v>
      </c>
      <c r="H90" s="958"/>
      <c r="I90" s="957" t="s">
        <v>321</v>
      </c>
      <c r="J90" s="958"/>
      <c r="K90" s="953" t="str">
        <f>IF(K84=$S$14,$T$13,IF(AND($O$3=$U$3,ROUNDDOWN(K84,0)=$S$13),$U$13,$T$13))</f>
        <v>　レベル　5</v>
      </c>
      <c r="L90" s="3167" t="s">
        <v>2653</v>
      </c>
      <c r="M90" s="3147"/>
      <c r="N90" s="3146" t="s">
        <v>2654</v>
      </c>
      <c r="O90" s="3147"/>
    </row>
    <row r="91" spans="2:15" ht="15.5" hidden="1">
      <c r="D91" s="908"/>
      <c r="E91" s="909"/>
      <c r="F91" s="1048"/>
      <c r="G91" s="1046" t="s">
        <v>1265</v>
      </c>
      <c r="H91" s="935"/>
      <c r="I91" s="935"/>
      <c r="J91" s="936"/>
      <c r="K91" s="1048"/>
      <c r="L91" s="1046" t="s">
        <v>1265</v>
      </c>
      <c r="M91" s="935"/>
      <c r="N91" s="935"/>
      <c r="O91" s="936"/>
    </row>
    <row r="92" spans="2:15" ht="15.5">
      <c r="D92" s="908"/>
      <c r="E92" s="909"/>
      <c r="F92" s="1049" t="str">
        <f>IF(F84=$S$14,$T$9,IF(AND($O$3&lt;&gt;$U$3,ROUNDDOWN(F84,0)=$S$9),$U$9,$T$9))</f>
        <v>　レベル　1</v>
      </c>
      <c r="G92" s="939" t="s">
        <v>2655</v>
      </c>
      <c r="H92" s="940"/>
      <c r="I92" s="939" t="s">
        <v>2656</v>
      </c>
      <c r="J92" s="940"/>
      <c r="K92" s="1049" t="str">
        <f>IF(K84=$S$14,$T$9,IF(AND($O$3&lt;&gt;$U$3,ROUNDDOWN(K84,0)=$S$9),$U$9,$T$9))</f>
        <v>　レベル　1</v>
      </c>
      <c r="L92" s="1003" t="s">
        <v>322</v>
      </c>
      <c r="M92" s="3164"/>
      <c r="N92" s="3164"/>
      <c r="O92" s="3150"/>
    </row>
    <row r="93" spans="2:15" ht="15.5">
      <c r="D93" s="908"/>
      <c r="E93" s="909"/>
      <c r="F93" s="942" t="str">
        <f>IF(F84=$S$14,$T$10,IF(AND($O$3&lt;&gt;$U$3,ROUNDDOWN(F84,0)=$S$10),$U$10,$T$10))</f>
        <v>　レベル　2</v>
      </c>
      <c r="G93" s="946" t="s">
        <v>2657</v>
      </c>
      <c r="H93" s="947"/>
      <c r="I93" s="946" t="s">
        <v>2658</v>
      </c>
      <c r="J93" s="947"/>
      <c r="K93" s="942" t="str">
        <f>IF(K84=$S$14,$T$10,IF(AND($O$3&lt;&gt;$U$3,ROUNDDOWN(K84,0)=$S$10),$U$10,$T$10))</f>
        <v>　レベル　2</v>
      </c>
      <c r="L93" s="950" t="s">
        <v>323</v>
      </c>
      <c r="M93" s="3165"/>
      <c r="N93" s="3154"/>
      <c r="O93" s="3149"/>
    </row>
    <row r="94" spans="2:15" ht="15.5">
      <c r="D94" s="908"/>
      <c r="E94" s="909"/>
      <c r="F94" s="942" t="str">
        <f>IF(F84=$S$14,$T$11,IF(AND($O$3&lt;&gt;$U$3,ROUNDDOWN(F84,0)=$S$11),$U$11,$T$11))</f>
        <v>■レベル　3</v>
      </c>
      <c r="G94" s="946" t="s">
        <v>2658</v>
      </c>
      <c r="H94" s="947"/>
      <c r="I94" s="946" t="s">
        <v>2659</v>
      </c>
      <c r="J94" s="947"/>
      <c r="K94" s="942" t="str">
        <f>IF(K84=$S$14,$T$11,IF(AND($O$3&lt;&gt;$U$3,ROUNDDOWN(K84,0)=$S$11),$U$11,$T$11))</f>
        <v>■レベル　3</v>
      </c>
      <c r="L94" s="950" t="s">
        <v>324</v>
      </c>
      <c r="M94" s="3165"/>
      <c r="N94" s="3154"/>
      <c r="O94" s="3149"/>
    </row>
    <row r="95" spans="2:15" ht="15.5">
      <c r="D95" s="908"/>
      <c r="E95" s="909"/>
      <c r="F95" s="942" t="str">
        <f>IF(F84=$S$14,$T$12,IF(AND($O$3&lt;&gt;$U$3,ROUNDDOWN(F84,0)=$S$12),$U$12,$T$12))</f>
        <v>　レベル　4</v>
      </c>
      <c r="G95" s="946" t="s">
        <v>2659</v>
      </c>
      <c r="H95" s="947"/>
      <c r="I95" s="946" t="s">
        <v>2013</v>
      </c>
      <c r="J95" s="947"/>
      <c r="K95" s="942" t="str">
        <f>IF(K84=$S$14,$T$12,IF(AND($O$3&lt;&gt;$U$3,ROUNDDOWN(K84,0)=$S$12),$U$12,$T$12))</f>
        <v>　レベル　4</v>
      </c>
      <c r="L95" s="950" t="s">
        <v>325</v>
      </c>
      <c r="M95" s="3165"/>
      <c r="N95" s="3154"/>
      <c r="O95" s="3149"/>
    </row>
    <row r="96" spans="2:15" ht="15.5">
      <c r="D96" s="908"/>
      <c r="E96" s="909"/>
      <c r="F96" s="953" t="str">
        <f>IF(F84=$S$14,$T$13,IF(AND($O$3&lt;&gt;$U$3,ROUNDDOWN(F84,0)=$S$13),$U$13,$T$13))</f>
        <v>　レベル　5</v>
      </c>
      <c r="G96" s="957" t="s">
        <v>2014</v>
      </c>
      <c r="H96" s="958"/>
      <c r="I96" s="957" t="s">
        <v>2015</v>
      </c>
      <c r="J96" s="958"/>
      <c r="K96" s="953" t="str">
        <f>IF(K84=$S$14,$T$13,IF(AND($O$3&lt;&gt;$U$3,ROUNDDOWN(K84,0)=$S$13),$U$13,$T$13))</f>
        <v>　レベル　5</v>
      </c>
      <c r="L96" s="954" t="s">
        <v>2016</v>
      </c>
      <c r="M96" s="3170"/>
      <c r="N96" s="3153"/>
      <c r="O96" s="3147"/>
    </row>
    <row r="97" spans="2:15" ht="15.5">
      <c r="D97" s="908"/>
      <c r="E97" s="909"/>
      <c r="F97" s="909"/>
      <c r="G97" s="995"/>
      <c r="H97" s="995"/>
      <c r="I97" s="995"/>
      <c r="J97" s="995"/>
      <c r="K97" s="995"/>
      <c r="L97" s="995"/>
      <c r="M97" s="995"/>
      <c r="N97" s="995"/>
      <c r="O97" s="995"/>
    </row>
    <row r="98" spans="2:15" ht="15.5">
      <c r="D98" s="903"/>
      <c r="E98" s="904"/>
      <c r="F98" s="919" t="s">
        <v>326</v>
      </c>
      <c r="G98" s="996"/>
      <c r="H98" s="1045"/>
      <c r="I98" s="1025"/>
      <c r="J98" s="999" t="e">
        <f>IF(OR(F100=0,AND(J99=0,O99=0)),$R$3,"")</f>
        <v>#DIV/0!</v>
      </c>
      <c r="K98" s="995"/>
      <c r="L98" s="996"/>
      <c r="M98" s="1045"/>
      <c r="N98" s="1025"/>
      <c r="O98" s="1025"/>
    </row>
    <row r="99" spans="2:15" ht="16" thickBot="1">
      <c r="D99" s="908"/>
      <c r="E99" s="1058"/>
      <c r="F99" s="923" t="s">
        <v>327</v>
      </c>
      <c r="G99" s="924"/>
      <c r="H99" s="925"/>
      <c r="I99" s="926" t="s">
        <v>1364</v>
      </c>
      <c r="J99" s="929" t="e">
        <f>重み!M17</f>
        <v>#DIV/0!</v>
      </c>
      <c r="K99" s="923" t="s">
        <v>1968</v>
      </c>
      <c r="L99" s="924"/>
      <c r="M99" s="925"/>
      <c r="N99" s="926" t="s">
        <v>1364</v>
      </c>
      <c r="O99" s="929" t="e">
        <f>重み!N17</f>
        <v>#DIV/0!</v>
      </c>
    </row>
    <row r="100" spans="2:15" ht="27" customHeight="1" thickBot="1">
      <c r="D100" s="908"/>
      <c r="E100" s="1058"/>
      <c r="F100" s="930">
        <v>3</v>
      </c>
      <c r="G100" s="1046" t="s">
        <v>2017</v>
      </c>
      <c r="H100" s="935"/>
      <c r="I100" s="935"/>
      <c r="J100" s="936"/>
      <c r="K100" s="930">
        <v>3</v>
      </c>
      <c r="L100" s="1046" t="s">
        <v>328</v>
      </c>
      <c r="M100" s="935"/>
      <c r="N100" s="935"/>
      <c r="O100" s="936"/>
    </row>
    <row r="101" spans="2:15" ht="15.5" hidden="1">
      <c r="B101" s="1">
        <v>1</v>
      </c>
      <c r="C101" s="1">
        <v>1</v>
      </c>
      <c r="D101" s="908"/>
      <c r="E101" s="1058"/>
      <c r="F101" s="1047"/>
      <c r="G101" s="1046" t="s">
        <v>1266</v>
      </c>
      <c r="H101" s="935"/>
      <c r="I101" s="935"/>
      <c r="J101" s="936"/>
      <c r="K101" s="1047"/>
      <c r="L101" s="1046" t="s">
        <v>1266</v>
      </c>
      <c r="M101" s="935"/>
      <c r="N101" s="935"/>
      <c r="O101" s="936"/>
    </row>
    <row r="102" spans="2:15" ht="15.5" hidden="1">
      <c r="B102" s="1">
        <v>2</v>
      </c>
      <c r="C102" s="1">
        <v>2</v>
      </c>
      <c r="D102" s="908"/>
      <c r="E102" s="1059"/>
      <c r="F102" s="942" t="str">
        <f>IF(F100=$S$14,$T$9,IF(AND($O$3=$U$3,ROUNDDOWN(F100,0)=$S$9),$U$9,$T$9))</f>
        <v>　レベル　1</v>
      </c>
      <c r="G102" s="939" t="s">
        <v>329</v>
      </c>
      <c r="H102" s="940"/>
      <c r="I102" s="940"/>
      <c r="J102" s="941"/>
      <c r="K102" s="942" t="str">
        <f>IF(K100=$S$14,$T$9,IF(AND($O$3=$U$3,ROUNDDOWN(K100,0)=$S$9),$U$9,$T$9))</f>
        <v>　レベル　1</v>
      </c>
      <c r="L102" s="939" t="s">
        <v>643</v>
      </c>
      <c r="M102" s="940"/>
      <c r="N102" s="940"/>
      <c r="O102" s="941"/>
    </row>
    <row r="103" spans="2:15" ht="15.5" hidden="1">
      <c r="B103" s="1">
        <v>3</v>
      </c>
      <c r="C103" s="1">
        <v>3</v>
      </c>
      <c r="D103" s="908"/>
      <c r="E103" s="1059"/>
      <c r="F103" s="942" t="str">
        <f>IF(F100=$S$14,$T$10,IF(AND($O$3=$U$3,ROUNDDOWN(F100,0)=$S$10),$U$10,$T$10))</f>
        <v>　レベル　2</v>
      </c>
      <c r="G103" s="946"/>
      <c r="H103" s="947"/>
      <c r="I103" s="947"/>
      <c r="J103" s="948"/>
      <c r="K103" s="942" t="str">
        <f>IF(K100=$S$14,$T$10,IF(AND($O$3=$U$3,ROUNDDOWN(K100,0)=$S$10),$U$10,$T$10))</f>
        <v>　レベル　2</v>
      </c>
      <c r="L103" s="946"/>
      <c r="M103" s="947"/>
      <c r="N103" s="947"/>
      <c r="O103" s="948"/>
    </row>
    <row r="104" spans="2:15" ht="15.5" hidden="1">
      <c r="B104" s="1">
        <v>4</v>
      </c>
      <c r="C104" s="1">
        <v>4</v>
      </c>
      <c r="D104" s="908"/>
      <c r="E104" s="1059"/>
      <c r="F104" s="942" t="str">
        <f>IF(F100=$S$14,$T$11,IF(AND($O$3=$U$3,ROUNDDOWN(F100,0)=$S$11),$U$11,$T$11))</f>
        <v>　レベル　3</v>
      </c>
      <c r="G104" s="946" t="s">
        <v>643</v>
      </c>
      <c r="H104" s="947"/>
      <c r="I104" s="947"/>
      <c r="J104" s="948"/>
      <c r="K104" s="942" t="str">
        <f>IF(K100=$S$14,$T$11,IF(AND($O$3=$U$3,ROUNDDOWN(K100,0)=$S$11),$U$11,$T$11))</f>
        <v>　レベル　3</v>
      </c>
      <c r="L104" s="946" t="s">
        <v>644</v>
      </c>
      <c r="M104" s="947"/>
      <c r="N104" s="947"/>
      <c r="O104" s="948"/>
    </row>
    <row r="105" spans="2:15" ht="15.5" hidden="1">
      <c r="B105" s="1">
        <v>5</v>
      </c>
      <c r="C105" s="1">
        <v>5</v>
      </c>
      <c r="D105" s="908"/>
      <c r="E105" s="1059"/>
      <c r="F105" s="942" t="str">
        <f>IF(F100=$S$14,$T$12,IF(AND($O$3=$U$3,ROUNDDOWN(F100,0)=$S$12),$U$12,$T$12))</f>
        <v>　レベル　4</v>
      </c>
      <c r="G105" s="946"/>
      <c r="H105" s="947"/>
      <c r="I105" s="947"/>
      <c r="J105" s="948"/>
      <c r="K105" s="942" t="str">
        <f>IF(K100=$S$14,$T$12,IF(AND($O$3=$U$3,ROUNDDOWN(K100,0)=$S$12),$U$12,$T$12))</f>
        <v>　レベル　4</v>
      </c>
      <c r="L105" s="946"/>
      <c r="M105" s="947"/>
      <c r="N105" s="947"/>
      <c r="O105" s="948"/>
    </row>
    <row r="106" spans="2:15" ht="15.5" hidden="1">
      <c r="B106" s="960">
        <v>0</v>
      </c>
      <c r="C106" s="960">
        <v>0</v>
      </c>
      <c r="D106" s="908"/>
      <c r="E106" s="1059"/>
      <c r="F106" s="953" t="str">
        <f>IF(F100=$S$14,$T$13,IF(AND($O$3=$U$3,ROUNDDOWN(F100,0)=$S$13),$U$13,$T$13))</f>
        <v>　レベル　5</v>
      </c>
      <c r="G106" s="957" t="s">
        <v>645</v>
      </c>
      <c r="H106" s="958"/>
      <c r="I106" s="958"/>
      <c r="J106" s="959"/>
      <c r="K106" s="953" t="str">
        <f>IF(K100=$S$14,$T$13,IF(AND($O$3=$U$3,ROUNDDOWN(K100,0)=$S$13),$U$13,$T$13))</f>
        <v>　レベル　5</v>
      </c>
      <c r="L106" s="957" t="s">
        <v>646</v>
      </c>
      <c r="M106" s="958"/>
      <c r="N106" s="958"/>
      <c r="O106" s="959"/>
    </row>
    <row r="107" spans="2:15" ht="15.5" hidden="1">
      <c r="D107" s="908"/>
      <c r="E107" s="909"/>
      <c r="F107" s="1048"/>
      <c r="G107" s="1046" t="s">
        <v>1265</v>
      </c>
      <c r="H107" s="935"/>
      <c r="I107" s="935"/>
      <c r="J107" s="936"/>
      <c r="K107" s="1048"/>
      <c r="L107" s="1046" t="s">
        <v>1265</v>
      </c>
      <c r="M107" s="935"/>
      <c r="N107" s="935"/>
      <c r="O107" s="936"/>
    </row>
    <row r="108" spans="2:15" ht="15.5">
      <c r="D108" s="908"/>
      <c r="E108" s="909"/>
      <c r="F108" s="1049" t="str">
        <f>IF(F100=$S$14,$T$9,IF(AND($O$3&lt;&gt;$U$3,ROUNDDOWN(F100,0)=$S$9),$U$9,$T$9))</f>
        <v>　レベル　1</v>
      </c>
      <c r="G108" s="939" t="s">
        <v>647</v>
      </c>
      <c r="H108" s="940"/>
      <c r="I108" s="940"/>
      <c r="J108" s="941"/>
      <c r="K108" s="1049" t="str">
        <f>IF(K100=$S$14,$T$9,IF(AND($O$3&lt;&gt;$U$3,ROUNDDOWN(K100,0)=$S$9),$U$9,$T$9))</f>
        <v>　レベル　1</v>
      </c>
      <c r="L108" s="939" t="s">
        <v>648</v>
      </c>
      <c r="M108" s="940"/>
      <c r="N108" s="940"/>
      <c r="O108" s="941"/>
    </row>
    <row r="109" spans="2:15" ht="15.5">
      <c r="D109" s="908"/>
      <c r="E109" s="909"/>
      <c r="F109" s="942" t="str">
        <f>IF(F100=$S$14,$T$10,IF(AND($O$3&lt;&gt;$U$3,ROUNDDOWN(F100,0)=$S$10),$U$10,$T$10))</f>
        <v>　レベル　2</v>
      </c>
      <c r="G109" s="946" t="s">
        <v>649</v>
      </c>
      <c r="H109" s="947"/>
      <c r="I109" s="947"/>
      <c r="J109" s="948"/>
      <c r="K109" s="942" t="str">
        <f>IF(K100=$S$14,$T$10,IF(AND($O$3&lt;&gt;$U$3,ROUNDDOWN(K100,0)=$S$10),$U$10,$T$10))</f>
        <v>　レベル　2</v>
      </c>
      <c r="L109" s="946" t="s">
        <v>1891</v>
      </c>
      <c r="M109" s="947"/>
      <c r="N109" s="947"/>
      <c r="O109" s="948"/>
    </row>
    <row r="110" spans="2:15" ht="15.5">
      <c r="D110" s="908"/>
      <c r="E110" s="909"/>
      <c r="F110" s="942" t="str">
        <f>IF(F100=$S$14,$T$11,IF(AND($O$3&lt;&gt;$U$3,ROUNDDOWN(F100,0)=$S$11),$U$11,$T$11))</f>
        <v>■レベル　3</v>
      </c>
      <c r="G110" s="946" t="s">
        <v>1892</v>
      </c>
      <c r="H110" s="947"/>
      <c r="I110" s="947"/>
      <c r="J110" s="948"/>
      <c r="K110" s="942" t="str">
        <f>IF(K100=$S$14,$T$11,IF(AND($O$3&lt;&gt;$U$3,ROUNDDOWN(K100,0)=$S$11),$U$11,$T$11))</f>
        <v>■レベル　3</v>
      </c>
      <c r="L110" s="946" t="s">
        <v>1893</v>
      </c>
      <c r="M110" s="947"/>
      <c r="N110" s="947"/>
      <c r="O110" s="948"/>
    </row>
    <row r="111" spans="2:15" ht="15.5">
      <c r="D111" s="908"/>
      <c r="E111" s="909"/>
      <c r="F111" s="942" t="str">
        <f>IF(F100=$S$14,$T$12,IF(AND($O$3&lt;&gt;$U$3,ROUNDDOWN(F100,0)=$S$12),$U$12,$T$12))</f>
        <v>　レベル　4</v>
      </c>
      <c r="G111" s="946" t="s">
        <v>1891</v>
      </c>
      <c r="H111" s="947"/>
      <c r="I111" s="947"/>
      <c r="J111" s="948"/>
      <c r="K111" s="942" t="str">
        <f>IF(K100=$S$14,$T$12,IF(AND($O$3&lt;&gt;$U$3,ROUNDDOWN(K100,0)=$S$12),$U$12,$T$12))</f>
        <v>　レベル　4</v>
      </c>
      <c r="L111" s="946" t="s">
        <v>1894</v>
      </c>
      <c r="M111" s="947"/>
      <c r="N111" s="947"/>
      <c r="O111" s="948"/>
    </row>
    <row r="112" spans="2:15" ht="15.5">
      <c r="D112" s="908"/>
      <c r="E112" s="909"/>
      <c r="F112" s="953" t="str">
        <f>IF(F100=$S$14,$T$13,IF(AND($O$3&lt;&gt;$U$3,ROUNDDOWN(F100,0)=$S$13),$U$13,$T$13))</f>
        <v>　レベル　5</v>
      </c>
      <c r="G112" s="957" t="s">
        <v>1895</v>
      </c>
      <c r="H112" s="958"/>
      <c r="I112" s="958"/>
      <c r="J112" s="959"/>
      <c r="K112" s="953" t="str">
        <f>IF(K100=$S$14,$T$13,IF(AND($O$3&lt;&gt;$U$3,ROUNDDOWN(K100,0)=$S$13),$U$13,$T$13))</f>
        <v>　レベル　5</v>
      </c>
      <c r="L112" s="957" t="s">
        <v>2233</v>
      </c>
      <c r="M112" s="958"/>
      <c r="N112" s="958"/>
      <c r="O112" s="959"/>
    </row>
    <row r="113" spans="2:15" ht="15.5">
      <c r="D113" s="908"/>
      <c r="E113" s="909"/>
      <c r="F113" s="909"/>
      <c r="G113" s="995"/>
      <c r="H113" s="995"/>
      <c r="I113" s="995"/>
      <c r="J113" s="995"/>
      <c r="K113" s="995"/>
      <c r="L113" s="1050"/>
      <c r="M113" s="1050"/>
      <c r="N113" s="1050"/>
      <c r="O113" s="1050"/>
    </row>
    <row r="114" spans="2:15" ht="15.5">
      <c r="D114" s="2278"/>
      <c r="E114" s="913"/>
      <c r="F114" s="919" t="s">
        <v>2234</v>
      </c>
      <c r="G114" s="996"/>
      <c r="H114" s="1045"/>
      <c r="I114" s="1025"/>
      <c r="J114" s="999" t="e">
        <f>IF(OR(F116=0,AND(J115=0,O115=0)),$R$3,"")</f>
        <v>#DIV/0!</v>
      </c>
      <c r="K114" s="995"/>
      <c r="L114" s="996"/>
      <c r="M114" s="1045"/>
      <c r="N114" s="1025"/>
      <c r="O114" s="1025"/>
    </row>
    <row r="115" spans="2:15" ht="16" thickBot="1">
      <c r="D115" s="908"/>
      <c r="E115" s="909"/>
      <c r="F115" s="923" t="s">
        <v>1856</v>
      </c>
      <c r="G115" s="924"/>
      <c r="H115" s="925"/>
      <c r="I115" s="926" t="s">
        <v>1364</v>
      </c>
      <c r="J115" s="929" t="e">
        <f>重み!M18</f>
        <v>#DIV/0!</v>
      </c>
      <c r="K115" s="923" t="s">
        <v>1968</v>
      </c>
      <c r="L115" s="924"/>
      <c r="M115" s="925"/>
      <c r="N115" s="926" t="s">
        <v>1364</v>
      </c>
      <c r="O115" s="929" t="e">
        <f>重み!N18</f>
        <v>#DIV/0!</v>
      </c>
    </row>
    <row r="116" spans="2:15" ht="27" customHeight="1" thickBot="1">
      <c r="D116" s="908"/>
      <c r="E116" s="909"/>
      <c r="F116" s="930">
        <v>3</v>
      </c>
      <c r="G116" s="1046" t="s">
        <v>2017</v>
      </c>
      <c r="H116" s="935"/>
      <c r="I116" s="935"/>
      <c r="J116" s="936"/>
      <c r="K116" s="930">
        <v>3</v>
      </c>
      <c r="L116" s="1046" t="s">
        <v>328</v>
      </c>
      <c r="M116" s="935"/>
      <c r="N116" s="935"/>
      <c r="O116" s="936"/>
    </row>
    <row r="117" spans="2:15" ht="15.5" hidden="1">
      <c r="B117" s="1">
        <v>1</v>
      </c>
      <c r="C117" s="1">
        <v>1</v>
      </c>
      <c r="D117" s="908"/>
      <c r="E117" s="909"/>
      <c r="F117" s="1047"/>
      <c r="G117" s="1046" t="s">
        <v>1266</v>
      </c>
      <c r="H117" s="935"/>
      <c r="I117" s="935"/>
      <c r="J117" s="936"/>
      <c r="K117" s="1047"/>
      <c r="L117" s="1046" t="s">
        <v>1266</v>
      </c>
      <c r="M117" s="935"/>
      <c r="N117" s="935"/>
      <c r="O117" s="936"/>
    </row>
    <row r="118" spans="2:15" ht="15.5" hidden="1">
      <c r="B118" s="1">
        <v>2</v>
      </c>
      <c r="C118" s="1">
        <v>2</v>
      </c>
      <c r="D118" s="908"/>
      <c r="E118" s="909"/>
      <c r="F118" s="942" t="str">
        <f>IF(F116=$S$14,$T$9,IF(AND($O$3=$U$3,ROUNDDOWN(F116,0)=$S$9),$U$9,$T$9))</f>
        <v>　レベル　1</v>
      </c>
      <c r="G118" s="939" t="s">
        <v>2235</v>
      </c>
      <c r="H118" s="940"/>
      <c r="I118" s="940"/>
      <c r="J118" s="941"/>
      <c r="K118" s="942" t="str">
        <f>IF(K116=$S$14,$T$9,IF(AND($O$3=$U$3,ROUNDDOWN(K116,0)=$S$9),$U$9,$T$9))</f>
        <v>　レベル　1</v>
      </c>
      <c r="L118" s="939" t="s">
        <v>2236</v>
      </c>
      <c r="M118" s="940"/>
      <c r="N118" s="940"/>
      <c r="O118" s="941"/>
    </row>
    <row r="119" spans="2:15" ht="15.5" hidden="1">
      <c r="B119" s="1">
        <v>3</v>
      </c>
      <c r="C119" s="1">
        <v>3</v>
      </c>
      <c r="D119" s="908"/>
      <c r="E119" s="909"/>
      <c r="F119" s="942" t="str">
        <f>IF(F116=$S$14,$T$10,IF(AND($O$3=$U$3,ROUNDDOWN(F116,0)=$S$10),$U$10,$T$10))</f>
        <v>　レベル　2</v>
      </c>
      <c r="G119" s="946"/>
      <c r="H119" s="947"/>
      <c r="I119" s="947"/>
      <c r="J119" s="948"/>
      <c r="K119" s="942" t="str">
        <f>IF(K116=$S$14,$T$10,IF(AND($O$3=$U$3,ROUNDDOWN(K116,0)=$S$10),$U$10,$T$10))</f>
        <v>　レベル　2</v>
      </c>
      <c r="L119" s="946"/>
      <c r="M119" s="947"/>
      <c r="N119" s="947"/>
      <c r="O119" s="948"/>
    </row>
    <row r="120" spans="2:15" ht="15.5" hidden="1">
      <c r="B120" s="1">
        <v>4</v>
      </c>
      <c r="C120" s="1">
        <v>4</v>
      </c>
      <c r="D120" s="908"/>
      <c r="E120" s="909"/>
      <c r="F120" s="942" t="str">
        <f>IF(F116=$S$14,$T$11,IF(AND($O$3=$U$3,ROUNDDOWN(F116,0)=$S$11),$U$11,$T$11))</f>
        <v>　レベル　3</v>
      </c>
      <c r="G120" s="946" t="s">
        <v>2237</v>
      </c>
      <c r="H120" s="947"/>
      <c r="I120" s="947"/>
      <c r="J120" s="948"/>
      <c r="K120" s="942" t="str">
        <f>IF(K116=$S$14,$T$11,IF(AND($O$3=$U$3,ROUNDDOWN(K116,0)=$S$11),$U$11,$T$11))</f>
        <v>　レベル　3</v>
      </c>
      <c r="L120" s="946" t="s">
        <v>2238</v>
      </c>
      <c r="M120" s="947"/>
      <c r="N120" s="947"/>
      <c r="O120" s="948"/>
    </row>
    <row r="121" spans="2:15" ht="15.5" hidden="1">
      <c r="B121" s="1">
        <v>5</v>
      </c>
      <c r="C121" s="1">
        <v>5</v>
      </c>
      <c r="D121" s="908"/>
      <c r="E121" s="909"/>
      <c r="F121" s="942" t="str">
        <f>IF(F116=$S$14,$T$12,IF(AND($O$3=$U$3,ROUNDDOWN(F116,0)=$S$12),$U$12,$T$12))</f>
        <v>　レベル　4</v>
      </c>
      <c r="G121" s="946"/>
      <c r="H121" s="947"/>
      <c r="I121" s="947"/>
      <c r="J121" s="948"/>
      <c r="K121" s="942" t="str">
        <f>IF(K116=$S$14,$T$12,IF(AND($O$3=$U$3,ROUNDDOWN(K116,0)=$S$12),$U$12,$T$12))</f>
        <v>　レベル　4</v>
      </c>
      <c r="L121" s="946"/>
      <c r="M121" s="947"/>
      <c r="N121" s="947"/>
      <c r="O121" s="948"/>
    </row>
    <row r="122" spans="2:15" ht="15.5" hidden="1">
      <c r="B122" s="960">
        <v>0</v>
      </c>
      <c r="C122" s="960">
        <v>0</v>
      </c>
      <c r="D122" s="908"/>
      <c r="E122" s="909"/>
      <c r="F122" s="953" t="str">
        <f>IF(F116=$S$14,$T$13,IF(AND($O$3=$U$3,ROUNDDOWN(F116,0)=$S$13),$U$13,$T$13))</f>
        <v>　レベル　5</v>
      </c>
      <c r="G122" s="957" t="s">
        <v>2239</v>
      </c>
      <c r="H122" s="958"/>
      <c r="I122" s="958"/>
      <c r="J122" s="959"/>
      <c r="K122" s="953" t="str">
        <f>IF(K116=$S$14,$T$13,IF(AND($O$3=$U$3,ROUNDDOWN(K116,0)=$S$13),$U$13,$T$13))</f>
        <v>　レベル　5</v>
      </c>
      <c r="L122" s="957" t="s">
        <v>2240</v>
      </c>
      <c r="M122" s="958"/>
      <c r="N122" s="958"/>
      <c r="O122" s="959"/>
    </row>
    <row r="123" spans="2:15" ht="15.5" hidden="1">
      <c r="D123" s="908"/>
      <c r="E123" s="909"/>
      <c r="F123" s="1048"/>
      <c r="G123" s="1046" t="s">
        <v>1265</v>
      </c>
      <c r="H123" s="935"/>
      <c r="I123" s="935"/>
      <c r="J123" s="936"/>
      <c r="K123" s="1048"/>
      <c r="L123" s="1046" t="s">
        <v>1265</v>
      </c>
      <c r="M123" s="935"/>
      <c r="N123" s="935"/>
      <c r="O123" s="936"/>
    </row>
    <row r="124" spans="2:15" ht="15.5">
      <c r="D124" s="908"/>
      <c r="E124" s="909"/>
      <c r="F124" s="1049" t="str">
        <f>IF(F116=$S$14,$T$9,IF(AND($O$3&lt;&gt;$U$3,ROUNDDOWN(F116,0)=$S$9),$U$9,$T$9))</f>
        <v>　レベル　1</v>
      </c>
      <c r="G124" s="939" t="s">
        <v>647</v>
      </c>
      <c r="H124" s="940"/>
      <c r="I124" s="940"/>
      <c r="J124" s="941"/>
      <c r="K124" s="1049" t="str">
        <f>IF(K116=$S$14,$T$9,IF(AND($O$3&lt;&gt;$U$3,ROUNDDOWN(K116,0)=$S$9),$U$9,$T$9))</f>
        <v>　レベル　1</v>
      </c>
      <c r="L124" s="939" t="s">
        <v>2241</v>
      </c>
      <c r="M124" s="940"/>
      <c r="N124" s="940"/>
      <c r="O124" s="941"/>
    </row>
    <row r="125" spans="2:15" ht="15.5">
      <c r="D125" s="908"/>
      <c r="E125" s="909"/>
      <c r="F125" s="942" t="str">
        <f>IF(F116=$S$14,$T$10,IF(AND($O$3&lt;&gt;$U$3,ROUNDDOWN(F116,0)=$S$10),$U$10,$T$10))</f>
        <v>　レベル　2</v>
      </c>
      <c r="G125" s="946" t="s">
        <v>649</v>
      </c>
      <c r="H125" s="947"/>
      <c r="I125" s="947"/>
      <c r="J125" s="948"/>
      <c r="K125" s="942" t="str">
        <f>IF(K116=$S$14,$T$10,IF(AND($O$3&lt;&gt;$U$3,ROUNDDOWN(K116,0)=$S$10),$U$10,$T$10))</f>
        <v>　レベル　2</v>
      </c>
      <c r="L125" s="946" t="s">
        <v>1892</v>
      </c>
      <c r="M125" s="947"/>
      <c r="N125" s="947"/>
      <c r="O125" s="948"/>
    </row>
    <row r="126" spans="2:15" ht="15.5">
      <c r="D126" s="908"/>
      <c r="E126" s="909"/>
      <c r="F126" s="942" t="str">
        <f>IF(F116=$S$14,$T$11,IF(AND($O$3&lt;&gt;$U$3,ROUNDDOWN(F116,0)=$S$11),$U$11,$T$11))</f>
        <v>■レベル　3</v>
      </c>
      <c r="G126" s="946" t="s">
        <v>1892</v>
      </c>
      <c r="H126" s="947"/>
      <c r="I126" s="947"/>
      <c r="J126" s="948"/>
      <c r="K126" s="942" t="str">
        <f>IF(K116=$S$14,$T$11,IF(AND($O$3&lt;&gt;$U$3,ROUNDDOWN(K116,0)=$S$11),$U$11,$T$11))</f>
        <v>■レベル　3</v>
      </c>
      <c r="L126" s="946" t="s">
        <v>1891</v>
      </c>
      <c r="M126" s="947"/>
      <c r="N126" s="947"/>
      <c r="O126" s="948"/>
    </row>
    <row r="127" spans="2:15" ht="15.5">
      <c r="D127" s="908"/>
      <c r="E127" s="909"/>
      <c r="F127" s="942" t="str">
        <f>IF(F116=$S$14,$T$12,IF(AND($O$3&lt;&gt;$U$3,ROUNDDOWN(F116,0)=$S$12),$U$12,$T$12))</f>
        <v>　レベル　4</v>
      </c>
      <c r="G127" s="946" t="s">
        <v>1891</v>
      </c>
      <c r="H127" s="947"/>
      <c r="I127" s="947"/>
      <c r="J127" s="948"/>
      <c r="K127" s="942" t="str">
        <f>IF(K116=$S$14,$T$12,IF(AND($O$3&lt;&gt;$U$3,ROUNDDOWN(K116,0)=$S$12),$U$12,$T$12))</f>
        <v>　レベル　4</v>
      </c>
      <c r="L127" s="946" t="s">
        <v>1893</v>
      </c>
      <c r="M127" s="947"/>
      <c r="N127" s="947"/>
      <c r="O127" s="948"/>
    </row>
    <row r="128" spans="2:15" ht="15.5">
      <c r="D128" s="908"/>
      <c r="E128" s="909"/>
      <c r="F128" s="953" t="str">
        <f>IF(F116=$S$14,$T$13,IF(AND($O$3&lt;&gt;$U$3,ROUNDDOWN(F116,0)=$S$13),$U$13,$T$13))</f>
        <v>　レベル　5</v>
      </c>
      <c r="G128" s="957" t="s">
        <v>1895</v>
      </c>
      <c r="H128" s="958"/>
      <c r="I128" s="958"/>
      <c r="J128" s="959"/>
      <c r="K128" s="953" t="str">
        <f>IF(K116=$S$14,$T$13,IF(AND($O$3&lt;&gt;$U$3,ROUNDDOWN(K116,0)=$S$13),$U$13,$T$13))</f>
        <v>　レベル　5</v>
      </c>
      <c r="L128" s="957" t="s">
        <v>2242</v>
      </c>
      <c r="M128" s="958"/>
      <c r="N128" s="958"/>
      <c r="O128" s="959"/>
    </row>
    <row r="129" spans="2:15" ht="15.5">
      <c r="D129" s="908"/>
      <c r="E129" s="909"/>
      <c r="F129" s="909"/>
      <c r="G129" s="1060"/>
      <c r="H129" s="995"/>
      <c r="I129" s="995"/>
      <c r="J129" s="995"/>
      <c r="K129" s="995"/>
      <c r="L129" s="1050"/>
      <c r="M129" s="1050"/>
      <c r="N129" s="1050"/>
      <c r="O129" s="1050"/>
    </row>
    <row r="130" spans="2:15" ht="15.5">
      <c r="D130" s="1326">
        <v>1.3</v>
      </c>
      <c r="E130" s="915" t="s">
        <v>2018</v>
      </c>
      <c r="F130" s="919"/>
      <c r="G130" s="996"/>
      <c r="H130" s="1045"/>
      <c r="I130" s="1025"/>
      <c r="J130" s="999" t="e">
        <f>IF(OR(F132=0,AND(J131=0,O131=0)),$R$3,"")</f>
        <v>#DIV/0!</v>
      </c>
      <c r="K130" s="995"/>
      <c r="L130" s="996"/>
      <c r="M130" s="1045"/>
      <c r="N130" s="1025"/>
      <c r="O130" s="1025"/>
    </row>
    <row r="131" spans="2:15" ht="16" thickBot="1">
      <c r="D131" s="908"/>
      <c r="E131" s="904"/>
      <c r="F131" s="923" t="s">
        <v>1967</v>
      </c>
      <c r="G131" s="924"/>
      <c r="H131" s="925"/>
      <c r="I131" s="926" t="s">
        <v>1364</v>
      </c>
      <c r="J131" s="929" t="e">
        <f>重み!M19</f>
        <v>#DIV/0!</v>
      </c>
      <c r="K131" s="923" t="s">
        <v>1968</v>
      </c>
      <c r="L131" s="924"/>
      <c r="M131" s="925"/>
      <c r="N131" s="926" t="s">
        <v>1364</v>
      </c>
      <c r="O131" s="929" t="e">
        <f>重み!N19</f>
        <v>#DIV/0!</v>
      </c>
    </row>
    <row r="132" spans="2:15" ht="27" customHeight="1" thickBot="1">
      <c r="D132" s="908"/>
      <c r="E132" s="904"/>
      <c r="F132" s="930">
        <v>3</v>
      </c>
      <c r="G132" s="934" t="s">
        <v>2020</v>
      </c>
      <c r="H132" s="935"/>
      <c r="I132" s="935"/>
      <c r="J132" s="936"/>
      <c r="K132" s="930">
        <v>3</v>
      </c>
      <c r="L132" s="934" t="s">
        <v>2243</v>
      </c>
      <c r="M132" s="935"/>
      <c r="N132" s="935"/>
      <c r="O132" s="936"/>
    </row>
    <row r="133" spans="2:15" ht="15.5">
      <c r="B133" s="1">
        <v>1</v>
      </c>
      <c r="C133" s="1">
        <v>1</v>
      </c>
      <c r="D133" s="908"/>
      <c r="E133" s="904"/>
      <c r="F133" s="937" t="str">
        <f>IF(F132=$S$14,$T$9,IF(ROUNDDOWN(F132,0)=$S$9,$U$9,$T$9))</f>
        <v>　レベル　1</v>
      </c>
      <c r="G133" s="939" t="s">
        <v>2021</v>
      </c>
      <c r="H133" s="940"/>
      <c r="I133" s="940"/>
      <c r="J133" s="941"/>
      <c r="K133" s="937" t="str">
        <f>IF(K132=$S$14,$T$9,IF(ROUNDDOWN(K132,0)=$S$9,$U$9,$T$9))</f>
        <v>　レベル　1</v>
      </c>
      <c r="L133" s="939" t="s">
        <v>2021</v>
      </c>
      <c r="M133" s="940"/>
      <c r="N133" s="940"/>
      <c r="O133" s="941"/>
    </row>
    <row r="134" spans="2:15" ht="15.5">
      <c r="B134" s="1" t="s">
        <v>2177</v>
      </c>
      <c r="C134" s="1" t="s">
        <v>2177</v>
      </c>
      <c r="D134" s="908"/>
      <c r="E134" s="904"/>
      <c r="F134" s="942" t="str">
        <f>IF(F132=$S$14,$T$10,IF(ROUNDDOWN(F132,0)=$S$10,$U$10,$T$10))</f>
        <v>　レベル　2</v>
      </c>
      <c r="G134" s="946" t="s">
        <v>359</v>
      </c>
      <c r="H134" s="947"/>
      <c r="I134" s="947"/>
      <c r="J134" s="948"/>
      <c r="K134" s="942" t="str">
        <f>IF(K132=$S$14,$T$10,IF(ROUNDDOWN(K132,0)=$S$10,$U$10,$T$10))</f>
        <v>　レベル　2</v>
      </c>
      <c r="L134" s="946" t="s">
        <v>359</v>
      </c>
      <c r="M134" s="947"/>
      <c r="N134" s="947"/>
      <c r="O134" s="948"/>
    </row>
    <row r="135" spans="2:15" ht="15.5">
      <c r="B135" s="1">
        <v>3</v>
      </c>
      <c r="C135" s="1">
        <v>3</v>
      </c>
      <c r="D135" s="908"/>
      <c r="E135" s="904"/>
      <c r="F135" s="942" t="str">
        <f>IF(F132=$S$14,$T$11,IF(ROUNDDOWN(F132,0)=$S$11,$U$11,$T$11))</f>
        <v>■レベル　3</v>
      </c>
      <c r="G135" s="946" t="s">
        <v>2022</v>
      </c>
      <c r="H135" s="947"/>
      <c r="I135" s="947"/>
      <c r="J135" s="948"/>
      <c r="K135" s="942" t="str">
        <f>IF(K132=$S$14,$T$11,IF(ROUNDDOWN(K132,0)=$S$11,$U$11,$T$11))</f>
        <v>■レベル　3</v>
      </c>
      <c r="L135" s="946" t="s">
        <v>2022</v>
      </c>
      <c r="M135" s="947"/>
      <c r="N135" s="947"/>
      <c r="O135" s="948"/>
    </row>
    <row r="136" spans="2:15" ht="15.5">
      <c r="B136" s="1">
        <v>4</v>
      </c>
      <c r="C136" s="1">
        <v>4</v>
      </c>
      <c r="D136" s="908"/>
      <c r="E136" s="904"/>
      <c r="F136" s="942" t="str">
        <f>IF(F132=$S$14,$T$12,IF(ROUNDDOWN(F132,0)=$S$12,$U$12,$T$12))</f>
        <v>　レベル　4</v>
      </c>
      <c r="G136" s="946" t="s">
        <v>2244</v>
      </c>
      <c r="H136" s="947"/>
      <c r="I136" s="947"/>
      <c r="J136" s="948"/>
      <c r="K136" s="942" t="str">
        <f>IF(K132=$S$14,$T$12,IF(ROUNDDOWN(K132,0)=$S$12,$U$12,$T$12))</f>
        <v>　レベル　4</v>
      </c>
      <c r="L136" s="946" t="s">
        <v>2244</v>
      </c>
      <c r="M136" s="947"/>
      <c r="N136" s="947"/>
      <c r="O136" s="948"/>
    </row>
    <row r="137" spans="2:15" ht="15.5">
      <c r="B137" s="1">
        <v>5</v>
      </c>
      <c r="C137" s="1">
        <v>5</v>
      </c>
      <c r="D137" s="908"/>
      <c r="E137" s="904"/>
      <c r="F137" s="953" t="str">
        <f>IF(F132=$S$14,$T$13,IF(ROUNDDOWN(F132,0)=$S$13,$U$13,$T$13))</f>
        <v>　レベル　5</v>
      </c>
      <c r="G137" s="957" t="s">
        <v>2245</v>
      </c>
      <c r="H137" s="958"/>
      <c r="I137" s="958"/>
      <c r="J137" s="959"/>
      <c r="K137" s="953" t="str">
        <f>IF(K132=$S$14,$T$13,IF(ROUNDDOWN(K132,0)=$S$13,$U$13,$T$13))</f>
        <v>　レベル　5</v>
      </c>
      <c r="L137" s="957" t="s">
        <v>2245</v>
      </c>
      <c r="M137" s="958"/>
      <c r="N137" s="958"/>
      <c r="O137" s="959"/>
    </row>
    <row r="138" spans="2:15" ht="15.5">
      <c r="B138" s="960">
        <v>0</v>
      </c>
      <c r="C138" s="960">
        <v>0</v>
      </c>
      <c r="D138" s="908"/>
      <c r="E138" s="909"/>
      <c r="F138" s="1061"/>
      <c r="G138" s="1062"/>
      <c r="H138" s="1062"/>
      <c r="I138" s="1062"/>
      <c r="J138" s="1062"/>
      <c r="K138" s="1062"/>
      <c r="L138" s="995"/>
      <c r="M138" s="995"/>
      <c r="N138" s="995"/>
      <c r="O138" s="1063"/>
    </row>
    <row r="139" spans="2:15" ht="15.5">
      <c r="D139" s="1326">
        <v>2</v>
      </c>
      <c r="E139" s="1042" t="s">
        <v>2023</v>
      </c>
      <c r="F139" s="916"/>
      <c r="G139" s="1044"/>
      <c r="H139" s="1044"/>
      <c r="I139" s="1044"/>
      <c r="J139" s="1044"/>
      <c r="K139" s="1044"/>
      <c r="L139" s="1044"/>
      <c r="M139" s="1044"/>
      <c r="N139" s="1044"/>
      <c r="O139" s="1044"/>
    </row>
    <row r="140" spans="2:15" ht="15.5">
      <c r="D140" s="1326">
        <v>2.1</v>
      </c>
      <c r="E140" s="1042" t="s">
        <v>2024</v>
      </c>
      <c r="F140" s="916"/>
      <c r="G140" s="1043"/>
      <c r="H140" s="1043"/>
      <c r="I140" s="1044"/>
      <c r="J140" s="1044"/>
      <c r="K140" s="1044"/>
      <c r="L140" s="1044"/>
      <c r="M140" s="1043"/>
      <c r="N140" s="1044"/>
      <c r="O140" s="1044"/>
    </row>
    <row r="141" spans="2:15" ht="15.5">
      <c r="D141" s="908"/>
      <c r="E141" s="913"/>
      <c r="F141" s="1064" t="s">
        <v>919</v>
      </c>
      <c r="G141" s="996"/>
      <c r="H141" s="996"/>
      <c r="I141" s="1045"/>
      <c r="J141" s="999" t="e">
        <f>IF(OR(F143=0,AND(J142=0,O142=0)),$R$3,"")</f>
        <v>#DIV/0!</v>
      </c>
      <c r="K141" s="1025"/>
      <c r="L141" s="1025"/>
      <c r="M141" s="995"/>
      <c r="N141" s="1025"/>
      <c r="O141" s="1025"/>
    </row>
    <row r="142" spans="2:15" ht="16" thickBot="1">
      <c r="D142" s="908"/>
      <c r="E142" s="913"/>
      <c r="F142" s="1065" t="s">
        <v>2246</v>
      </c>
      <c r="G142" s="1066"/>
      <c r="H142" s="1067"/>
      <c r="I142" s="926" t="s">
        <v>1364</v>
      </c>
      <c r="J142" s="924" t="e">
        <f>重み!M22</f>
        <v>#DIV/0!</v>
      </c>
      <c r="K142" s="1066"/>
      <c r="L142" s="1068"/>
      <c r="M142" s="1069" t="s">
        <v>2025</v>
      </c>
      <c r="N142" s="926" t="s">
        <v>1364</v>
      </c>
      <c r="O142" s="928" t="e">
        <f>重み!N22</f>
        <v>#DIV/0!</v>
      </c>
    </row>
    <row r="143" spans="2:15" ht="27" customHeight="1" thickBot="1">
      <c r="D143" s="908"/>
      <c r="E143" s="913"/>
      <c r="F143" s="930">
        <v>3</v>
      </c>
      <c r="G143" s="2837" t="s">
        <v>3331</v>
      </c>
      <c r="H143" s="2837" t="s">
        <v>2026</v>
      </c>
      <c r="I143" s="2837" t="s">
        <v>2027</v>
      </c>
      <c r="J143" s="2838" t="s">
        <v>3059</v>
      </c>
      <c r="K143" s="2838" t="s">
        <v>2028</v>
      </c>
      <c r="L143" s="2839" t="s">
        <v>3060</v>
      </c>
      <c r="M143" s="930">
        <v>3</v>
      </c>
      <c r="N143" s="2441" t="s">
        <v>2649</v>
      </c>
      <c r="O143" s="2840" t="s">
        <v>2247</v>
      </c>
    </row>
    <row r="144" spans="2:15" ht="15.5" hidden="1">
      <c r="B144" s="1">
        <v>1</v>
      </c>
      <c r="C144" s="1">
        <v>1</v>
      </c>
      <c r="D144" s="908"/>
      <c r="E144" s="913"/>
      <c r="F144" s="1047"/>
      <c r="G144" s="1046" t="s">
        <v>1266</v>
      </c>
      <c r="H144" s="935"/>
      <c r="I144" s="935"/>
      <c r="J144" s="935"/>
      <c r="K144" s="935"/>
      <c r="L144" s="935"/>
      <c r="M144" s="1047"/>
      <c r="N144" s="935" t="s">
        <v>1266</v>
      </c>
      <c r="O144" s="1073"/>
    </row>
    <row r="145" spans="2:15" ht="45" hidden="1" customHeight="1">
      <c r="B145" s="1">
        <v>2</v>
      </c>
      <c r="C145" s="1">
        <v>2</v>
      </c>
      <c r="D145" s="908"/>
      <c r="E145" s="913"/>
      <c r="F145" s="942" t="str">
        <f>IF(F143=$S$14,$T$9,IF(AND($O$3=$U$3,ROUNDDOWN(F143,0)=$S$9),$U$9,$T$9))</f>
        <v>　レベル　1</v>
      </c>
      <c r="G145" s="1074" t="s">
        <v>2029</v>
      </c>
      <c r="H145" s="938" t="s">
        <v>2248</v>
      </c>
      <c r="I145" s="938" t="s">
        <v>412</v>
      </c>
      <c r="J145" s="938" t="s">
        <v>2249</v>
      </c>
      <c r="K145" s="946" t="s">
        <v>2178</v>
      </c>
      <c r="L145" s="938" t="s">
        <v>2250</v>
      </c>
      <c r="M145" s="942" t="str">
        <f>IF(M143=$S$14,$T$9,IF(AND($O$3=$U$3,ROUNDDOWN(M143,0)=$S$9),$U$9,$T$9))</f>
        <v>　レベル　1</v>
      </c>
      <c r="N145" s="1003" t="s">
        <v>2248</v>
      </c>
      <c r="O145" s="1075" t="s">
        <v>2251</v>
      </c>
    </row>
    <row r="146" spans="2:15" ht="33.75" hidden="1" customHeight="1">
      <c r="B146" s="1">
        <v>3</v>
      </c>
      <c r="C146" s="1">
        <v>3</v>
      </c>
      <c r="D146" s="908"/>
      <c r="E146" s="913"/>
      <c r="F146" s="942" t="str">
        <f>IF(F143=$S$14,$T$10,IF(AND($O$3=$U$3,ROUNDDOWN(F143,0)=$S$10),$U$10,$T$10))</f>
        <v>　レベル　2</v>
      </c>
      <c r="G146" s="950" t="s">
        <v>414</v>
      </c>
      <c r="H146" s="950"/>
      <c r="I146" s="950"/>
      <c r="J146" s="950"/>
      <c r="K146" s="946" t="s">
        <v>2178</v>
      </c>
      <c r="L146" s="950"/>
      <c r="M146" s="942" t="str">
        <f>IF(M143=$S$14,$T$10,IF(AND($O$3=$U$3,ROUNDDOWN(M143,0)=$S$10),$U$10,$T$10))</f>
        <v>　レベル　2</v>
      </c>
      <c r="N146" s="1076"/>
      <c r="O146" s="1077"/>
    </row>
    <row r="147" spans="2:15" ht="45" hidden="1" customHeight="1">
      <c r="B147" s="1">
        <v>4</v>
      </c>
      <c r="C147" s="1">
        <v>4</v>
      </c>
      <c r="D147" s="908"/>
      <c r="E147" s="913"/>
      <c r="F147" s="942" t="str">
        <f>IF(F143=$S$14,$T$11,IF(AND($O$3=$U$3,ROUNDDOWN(F143,0)=$S$11),$U$11,$T$11))</f>
        <v>　レベル　3</v>
      </c>
      <c r="G147" s="945" t="s">
        <v>2252</v>
      </c>
      <c r="H147" s="945" t="s">
        <v>2252</v>
      </c>
      <c r="I147" s="945" t="s">
        <v>1789</v>
      </c>
      <c r="J147" s="949" t="s">
        <v>1790</v>
      </c>
      <c r="K147" s="949" t="s">
        <v>1057</v>
      </c>
      <c r="L147" s="945" t="s">
        <v>398</v>
      </c>
      <c r="M147" s="942" t="str">
        <f>IF(M143=$S$14,$T$11,IF(AND($O$3=$U$3,ROUNDDOWN(M143,0)=$S$11),$U$11,$T$11))</f>
        <v>　レベル　3</v>
      </c>
      <c r="N147" s="950" t="s">
        <v>2252</v>
      </c>
      <c r="O147" s="951" t="s">
        <v>399</v>
      </c>
    </row>
    <row r="148" spans="2:15" ht="33.75" hidden="1" customHeight="1">
      <c r="B148" s="1">
        <v>5</v>
      </c>
      <c r="C148" s="1">
        <v>5</v>
      </c>
      <c r="D148" s="908"/>
      <c r="E148" s="913"/>
      <c r="F148" s="942" t="str">
        <f>IF(F143=$S$14,$T$12,IF(AND($O$3=$U$3,ROUNDDOWN(F143,0)=$S$12),$U$12,$T$12))</f>
        <v>　レベル　4</v>
      </c>
      <c r="G148" s="950"/>
      <c r="H148" s="950"/>
      <c r="I148" s="950"/>
      <c r="J148" s="951"/>
      <c r="K148" s="951" t="s">
        <v>554</v>
      </c>
      <c r="L148" s="950"/>
      <c r="M148" s="942" t="str">
        <f>IF(M143=$S$14,$T$12,IF(AND($O$3=$U$3,ROUNDDOWN(M143,0)=$S$12),$U$12,$T$12))</f>
        <v>　レベル　4</v>
      </c>
      <c r="N148" s="950"/>
      <c r="O148" s="951"/>
    </row>
    <row r="149" spans="2:15" ht="67.5" hidden="1" customHeight="1">
      <c r="B149" s="960">
        <v>0</v>
      </c>
      <c r="C149" s="960">
        <v>0</v>
      </c>
      <c r="D149" s="908"/>
      <c r="E149" s="913"/>
      <c r="F149" s="953" t="str">
        <f>IF(F143=$S$14,$T$13,IF(AND($O$3=$U$3,ROUNDDOWN(F143,0)=$S$13),$U$13,$T$13))</f>
        <v>　レベル　5</v>
      </c>
      <c r="G149" s="3173" t="s">
        <v>400</v>
      </c>
      <c r="H149" s="3174"/>
      <c r="I149" s="3174"/>
      <c r="J149" s="3175"/>
      <c r="K149" s="955" t="s">
        <v>555</v>
      </c>
      <c r="L149" s="954" t="s">
        <v>559</v>
      </c>
      <c r="M149" s="953" t="str">
        <f>IF(M143=$S$14,$T$13,IF(AND($O$3=$U$3,ROUNDDOWN(M143,0)=$S$13),$U$13,$T$13))</f>
        <v>　レベル　5</v>
      </c>
      <c r="N149" s="954" t="s">
        <v>400</v>
      </c>
      <c r="O149" s="955" t="s">
        <v>401</v>
      </c>
    </row>
    <row r="150" spans="2:15" ht="15.5" hidden="1">
      <c r="D150" s="908"/>
      <c r="E150" s="913"/>
      <c r="F150" s="1048"/>
      <c r="G150" s="1046" t="s">
        <v>1265</v>
      </c>
      <c r="H150" s="935"/>
      <c r="I150" s="1067"/>
      <c r="J150" s="1067"/>
      <c r="K150" s="1067"/>
      <c r="L150" s="1067"/>
      <c r="M150" s="1048"/>
      <c r="N150" s="1046" t="s">
        <v>1265</v>
      </c>
      <c r="O150" s="1073"/>
    </row>
    <row r="151" spans="2:15" ht="97.5" customHeight="1">
      <c r="D151" s="908"/>
      <c r="E151" s="913"/>
      <c r="F151" s="1049" t="str">
        <f>IF(F143=$S$14,$T$9,IF(AND($O$3&lt;&gt;$U$3,ROUNDDOWN(F143,0)=$S$9),$U$9,$T$9))</f>
        <v>　レベル　1</v>
      </c>
      <c r="G151" s="1074" t="s">
        <v>2029</v>
      </c>
      <c r="H151" s="938" t="s">
        <v>2466</v>
      </c>
      <c r="I151" s="938" t="s">
        <v>402</v>
      </c>
      <c r="J151" s="938" t="s">
        <v>2467</v>
      </c>
      <c r="K151" s="2762" t="s">
        <v>2178</v>
      </c>
      <c r="L151" s="938" t="s">
        <v>2468</v>
      </c>
      <c r="M151" s="1049" t="str">
        <f>IF(M143=$S$14,$T$9,IF(AND($O$3&lt;&gt;$U$3,ROUNDDOWN(M143,0)=$S$9),$U$9,$T$9))</f>
        <v>　レベル　1</v>
      </c>
      <c r="N151" s="1003" t="s">
        <v>2466</v>
      </c>
      <c r="O151" s="1075" t="s">
        <v>2468</v>
      </c>
    </row>
    <row r="152" spans="2:15" ht="99" customHeight="1">
      <c r="D152" s="908"/>
      <c r="E152" s="913"/>
      <c r="F152" s="942" t="str">
        <f>IF(F143=$S$14,$T$10,IF(AND($O$3&lt;&gt;$U$3,ROUNDDOWN(F143,0)=$S$10),$U$10,$T$10))</f>
        <v>　レベル　2</v>
      </c>
      <c r="G152" s="950" t="s">
        <v>403</v>
      </c>
      <c r="H152" s="950"/>
      <c r="I152" s="950"/>
      <c r="J152" s="950"/>
      <c r="K152" s="946" t="s">
        <v>2178</v>
      </c>
      <c r="L152" s="950"/>
      <c r="M152" s="942" t="str">
        <f>IF(M143=$S$14,$T$10,IF(AND($O$3&lt;&gt;$U$3,ROUNDDOWN(M143,0)=$S$10),$U$10,$T$10))</f>
        <v>　レベル　2</v>
      </c>
      <c r="N152" s="1076"/>
      <c r="O152" s="1077"/>
    </row>
    <row r="153" spans="2:15" ht="82.5" customHeight="1">
      <c r="D153" s="908"/>
      <c r="E153" s="913"/>
      <c r="F153" s="942" t="str">
        <f>IF(F143=$S$14,$T$11,IF(AND($O$3&lt;&gt;$U$3,ROUNDDOWN(F143,0)=$S$11),$U$11,$T$11))</f>
        <v>■レベル　3</v>
      </c>
      <c r="G153" s="945" t="s">
        <v>404</v>
      </c>
      <c r="H153" s="945" t="s">
        <v>2469</v>
      </c>
      <c r="I153" s="945" t="s">
        <v>405</v>
      </c>
      <c r="J153" s="949" t="s">
        <v>406</v>
      </c>
      <c r="K153" s="949" t="s">
        <v>922</v>
      </c>
      <c r="L153" s="945" t="s">
        <v>2470</v>
      </c>
      <c r="M153" s="942" t="str">
        <f>IF(M143=$S$14,$T$11,IF(AND($O$3&lt;&gt;$U$3,ROUNDDOWN(M143,0)=$S$11),$U$11,$T$11))</f>
        <v>■レベル　3</v>
      </c>
      <c r="N153" s="3148" t="s">
        <v>404</v>
      </c>
      <c r="O153" s="3149"/>
    </row>
    <row r="154" spans="2:15" ht="72" customHeight="1">
      <c r="D154" s="908"/>
      <c r="E154" s="913"/>
      <c r="F154" s="942" t="str">
        <f>IF(F143=$S$14,$T$12,IF(AND($O$3&lt;&gt;$U$3,ROUNDDOWN(F143,0)=$S$12),$U$12,$T$12))</f>
        <v>　レベル　4</v>
      </c>
      <c r="G154" s="950"/>
      <c r="H154" s="950"/>
      <c r="I154" s="950"/>
      <c r="J154" s="951"/>
      <c r="K154" s="951" t="s">
        <v>556</v>
      </c>
      <c r="L154" s="950"/>
      <c r="M154" s="942" t="str">
        <f>IF(M143=$S$14,$T$12,IF(AND($O$3&lt;&gt;$U$3,ROUNDDOWN(M143,0)=$S$12),$U$12,$T$12))</f>
        <v>　レベル　4</v>
      </c>
      <c r="N154" s="3148"/>
      <c r="O154" s="3149"/>
    </row>
    <row r="155" spans="2:15" ht="81" customHeight="1">
      <c r="D155" s="908"/>
      <c r="E155" s="913"/>
      <c r="F155" s="953" t="str">
        <f>IF(F143=$S$14,$T$13,IF(AND($O$3&lt;&gt;$U$3,ROUNDDOWN(F143,0)=$S$13),$U$13,$T$13))</f>
        <v>　レベル　5</v>
      </c>
      <c r="G155" s="3146" t="s">
        <v>1780</v>
      </c>
      <c r="H155" s="3170"/>
      <c r="I155" s="3170"/>
      <c r="J155" s="3176"/>
      <c r="K155" s="954" t="s">
        <v>558</v>
      </c>
      <c r="L155" s="954" t="s">
        <v>557</v>
      </c>
      <c r="M155" s="953" t="str">
        <f>IF(M143=$S$14,$T$13,IF(AND($O$3&lt;&gt;$U$3,ROUNDDOWN(M143,0)=$S$13),$U$13,$T$13))</f>
        <v>　レベル　5</v>
      </c>
      <c r="N155" s="3146" t="s">
        <v>1780</v>
      </c>
      <c r="O155" s="3147"/>
    </row>
    <row r="156" spans="2:15" ht="15.5" hidden="1">
      <c r="D156" s="908"/>
      <c r="E156" s="913"/>
      <c r="F156" s="913"/>
      <c r="G156" s="1050"/>
      <c r="H156" s="1050"/>
      <c r="I156" s="1050"/>
      <c r="J156" s="1050"/>
      <c r="K156" s="1050"/>
      <c r="L156" s="1050"/>
      <c r="M156" s="1050"/>
      <c r="N156" s="1050"/>
      <c r="O156" s="1050"/>
    </row>
    <row r="157" spans="2:15" ht="15.5" hidden="1">
      <c r="D157" s="908"/>
      <c r="E157" s="913"/>
      <c r="F157" s="2233" t="s">
        <v>2471</v>
      </c>
      <c r="G157" s="996"/>
      <c r="H157" s="1045"/>
      <c r="I157" s="1025"/>
      <c r="J157" s="999" t="e">
        <f>IF(OR(F159=0,J158=0),$R$3,"")</f>
        <v>#DIV/0!</v>
      </c>
      <c r="K157" s="1050"/>
      <c r="L157" s="1050"/>
      <c r="M157" s="1050"/>
      <c r="N157" s="1050"/>
      <c r="O157" s="1050"/>
    </row>
    <row r="158" spans="2:15" ht="15.5" hidden="1">
      <c r="D158" s="908"/>
      <c r="E158" s="913"/>
      <c r="F158" s="923" t="s">
        <v>1781</v>
      </c>
      <c r="G158" s="924"/>
      <c r="H158" s="925"/>
      <c r="I158" s="926" t="s">
        <v>1364</v>
      </c>
      <c r="J158" s="929" t="e">
        <f>重み!M23</f>
        <v>#DIV/0!</v>
      </c>
      <c r="K158" s="1050"/>
      <c r="L158" s="1050"/>
      <c r="M158" s="1050"/>
      <c r="N158" s="1050"/>
      <c r="O158" s="1050"/>
    </row>
    <row r="159" spans="2:15" ht="16" hidden="1" thickBot="1">
      <c r="D159" s="908"/>
      <c r="E159" s="913"/>
      <c r="F159" s="930">
        <v>0</v>
      </c>
      <c r="G159" s="934" t="s">
        <v>2472</v>
      </c>
      <c r="H159" s="935"/>
      <c r="I159" s="935"/>
      <c r="J159" s="936"/>
      <c r="K159" s="1050"/>
      <c r="L159" s="1050"/>
      <c r="M159" s="1050"/>
      <c r="N159" s="1050"/>
      <c r="O159" s="1050"/>
    </row>
    <row r="160" spans="2:15" ht="15.5" hidden="1">
      <c r="B160" s="1">
        <v>1</v>
      </c>
      <c r="C160" s="1">
        <v>1</v>
      </c>
      <c r="D160" s="908"/>
      <c r="E160" s="913"/>
      <c r="F160" s="937" t="str">
        <f>IF(F159=$S$14,$T$9,IF(ROUNDDOWN(F159,0)=$S$9,$U$9,$T$9))</f>
        <v>　レベル　1</v>
      </c>
      <c r="G160" s="939" t="s">
        <v>2473</v>
      </c>
      <c r="H160" s="940"/>
      <c r="I160" s="940"/>
      <c r="J160" s="941"/>
      <c r="K160" s="1050"/>
      <c r="L160" s="1050"/>
      <c r="M160" s="1050"/>
      <c r="N160" s="1050"/>
      <c r="O160" s="1050"/>
    </row>
    <row r="161" spans="2:15" ht="15.5" hidden="1">
      <c r="B161" s="1">
        <v>2</v>
      </c>
      <c r="C161" s="1">
        <v>2</v>
      </c>
      <c r="D161" s="908"/>
      <c r="E161" s="913"/>
      <c r="F161" s="942" t="str">
        <f>IF(F159=$S$14,$T$10,IF(ROUNDDOWN(F159,0)=$S$10,$U$10,$T$10))</f>
        <v>　レベル　2</v>
      </c>
      <c r="G161" s="946"/>
      <c r="H161" s="947"/>
      <c r="I161" s="947"/>
      <c r="J161" s="948"/>
      <c r="K161" s="1050"/>
      <c r="L161" s="1050"/>
      <c r="M161" s="1050"/>
      <c r="N161" s="1050"/>
      <c r="O161" s="1050"/>
    </row>
    <row r="162" spans="2:15" ht="15.5" hidden="1">
      <c r="B162" s="1">
        <v>3</v>
      </c>
      <c r="C162" s="1">
        <v>3</v>
      </c>
      <c r="D162" s="908"/>
      <c r="E162" s="913"/>
      <c r="F162" s="942" t="str">
        <f>IF(F159=$S$14,$T$11,IF(ROUNDDOWN(F159,0)=$S$11,$U$11,$T$11))</f>
        <v>　レベル　3</v>
      </c>
      <c r="G162" s="946" t="s">
        <v>2474</v>
      </c>
      <c r="H162" s="947"/>
      <c r="I162" s="947"/>
      <c r="J162" s="948"/>
      <c r="K162" s="1050"/>
      <c r="L162" s="1050"/>
      <c r="M162" s="1050"/>
      <c r="N162" s="1050"/>
      <c r="O162" s="1050"/>
    </row>
    <row r="163" spans="2:15" ht="15.5" hidden="1">
      <c r="B163" s="1">
        <v>4</v>
      </c>
      <c r="C163" s="1">
        <v>4</v>
      </c>
      <c r="D163" s="908"/>
      <c r="E163" s="913"/>
      <c r="F163" s="942" t="str">
        <f>IF(F159=$S$14,$T$12,IF(ROUNDDOWN(F159,0)=$S$12,$U$12,$T$12))</f>
        <v>　レベル　4</v>
      </c>
      <c r="G163" s="946"/>
      <c r="H163" s="947"/>
      <c r="I163" s="947"/>
      <c r="J163" s="948"/>
      <c r="K163" s="1050"/>
      <c r="L163" s="1050"/>
      <c r="M163" s="1050"/>
      <c r="N163" s="1050"/>
      <c r="O163" s="1050"/>
    </row>
    <row r="164" spans="2:15" ht="15.5" hidden="1">
      <c r="B164" s="1">
        <v>5</v>
      </c>
      <c r="C164" s="1">
        <v>5</v>
      </c>
      <c r="D164" s="908"/>
      <c r="E164" s="913"/>
      <c r="F164" s="953" t="str">
        <f>IF(F159=$S$14,$T$13,IF(ROUNDDOWN(F159,0)=$S$13,$U$13,$T$13))</f>
        <v>　レベル　5</v>
      </c>
      <c r="G164" s="957" t="s">
        <v>1782</v>
      </c>
      <c r="H164" s="958"/>
      <c r="I164" s="958"/>
      <c r="J164" s="959"/>
      <c r="K164" s="1050"/>
      <c r="L164" s="1050"/>
      <c r="M164" s="1050"/>
      <c r="N164" s="1050"/>
      <c r="O164" s="1050"/>
    </row>
    <row r="165" spans="2:15" ht="15.5">
      <c r="B165" s="960">
        <v>0</v>
      </c>
      <c r="C165" s="960">
        <v>0</v>
      </c>
      <c r="D165" s="908"/>
      <c r="E165" s="913"/>
      <c r="F165" s="1080"/>
      <c r="G165" s="1081"/>
      <c r="H165" s="1081"/>
      <c r="I165" s="1081"/>
      <c r="J165" s="1081"/>
      <c r="K165" s="1081"/>
      <c r="L165" s="1082"/>
      <c r="M165" s="1083"/>
      <c r="N165" s="1083"/>
      <c r="O165" s="1083"/>
    </row>
    <row r="166" spans="2:15" ht="15.5">
      <c r="D166" s="908"/>
      <c r="E166" s="913"/>
      <c r="F166" s="919" t="s">
        <v>2899</v>
      </c>
      <c r="G166" s="996"/>
      <c r="H166" s="1045"/>
      <c r="I166" s="1025"/>
      <c r="J166" s="999" t="e">
        <f>IF(OR(F168=0,AND(J167=0,O167=0)),$R$3,"")</f>
        <v>#DIV/0!</v>
      </c>
      <c r="K166" s="1084"/>
      <c r="L166" s="996"/>
      <c r="M166" s="1045"/>
      <c r="N166" s="1025"/>
      <c r="O166" s="999"/>
    </row>
    <row r="167" spans="2:15" ht="16" thickBot="1">
      <c r="D167" s="908"/>
      <c r="E167" s="1058"/>
      <c r="F167" s="923" t="s">
        <v>487</v>
      </c>
      <c r="G167" s="924"/>
      <c r="H167" s="925"/>
      <c r="I167" s="926" t="s">
        <v>1364</v>
      </c>
      <c r="J167" s="929" t="e">
        <f>重み!M24</f>
        <v>#DIV/0!</v>
      </c>
      <c r="K167" s="923" t="s">
        <v>1968</v>
      </c>
      <c r="L167" s="924"/>
      <c r="M167" s="925"/>
      <c r="N167" s="926" t="s">
        <v>1364</v>
      </c>
      <c r="O167" s="929" t="e">
        <f>重み!N24</f>
        <v>#DIV/0!</v>
      </c>
    </row>
    <row r="168" spans="2:15" ht="27" customHeight="1" thickBot="1">
      <c r="D168" s="908"/>
      <c r="E168" s="1058"/>
      <c r="F168" s="930">
        <v>3</v>
      </c>
      <c r="G168" s="1046" t="s">
        <v>2660</v>
      </c>
      <c r="H168" s="935"/>
      <c r="I168" s="935"/>
      <c r="J168" s="936"/>
      <c r="K168" s="930">
        <v>3</v>
      </c>
      <c r="L168" s="1046" t="s">
        <v>2661</v>
      </c>
      <c r="M168" s="936"/>
      <c r="N168" s="1046" t="s">
        <v>1783</v>
      </c>
      <c r="O168" s="936"/>
    </row>
    <row r="169" spans="2:15" ht="15.5" hidden="1">
      <c r="B169" s="1">
        <v>1</v>
      </c>
      <c r="C169" s="1">
        <v>1</v>
      </c>
      <c r="D169" s="908"/>
      <c r="E169" s="1058"/>
      <c r="F169" s="1085"/>
      <c r="G169" s="1046" t="s">
        <v>1266</v>
      </c>
      <c r="H169" s="935"/>
      <c r="I169" s="935"/>
      <c r="J169" s="936"/>
      <c r="K169" s="1085"/>
      <c r="L169" s="1052" t="s">
        <v>1266</v>
      </c>
      <c r="M169" s="1053"/>
      <c r="N169" s="1052"/>
      <c r="O169" s="1053"/>
    </row>
    <row r="170" spans="2:15" ht="60" hidden="1" customHeight="1">
      <c r="B170" s="1">
        <v>2</v>
      </c>
      <c r="C170" s="1">
        <v>2</v>
      </c>
      <c r="D170" s="908"/>
      <c r="E170" s="1059"/>
      <c r="F170" s="942" t="str">
        <f>IF(F168=$S$14,$T$9,IF(AND($O$3=$U$3,ROUNDDOWN(F168,0)=$S$9),$U$9,$T$9))</f>
        <v>　レベル　1</v>
      </c>
      <c r="G170" s="3144" t="s">
        <v>2662</v>
      </c>
      <c r="H170" s="3164"/>
      <c r="I170" s="3164"/>
      <c r="J170" s="3150"/>
      <c r="K170" s="942" t="str">
        <f>IF(K168=$S$14,$T$9,IF(AND($O$3=$U$3,ROUNDDOWN(K168,0)=$S$9),$U$9,$T$9))</f>
        <v>　レベル　1</v>
      </c>
      <c r="L170" s="3148" t="s">
        <v>1784</v>
      </c>
      <c r="M170" s="3149"/>
      <c r="N170" s="3148" t="s">
        <v>91</v>
      </c>
      <c r="O170" s="3149"/>
    </row>
    <row r="171" spans="2:15" ht="60" hidden="1" customHeight="1">
      <c r="B171" s="1">
        <v>3</v>
      </c>
      <c r="C171" s="1">
        <v>3</v>
      </c>
      <c r="D171" s="908"/>
      <c r="E171" s="1059"/>
      <c r="F171" s="942" t="str">
        <f>IF(F168=$S$14,$T$10,IF(AND($O$3=$U$3,ROUNDDOWN(F168,0)=$S$10),$U$10,$T$10))</f>
        <v>　レベル　2</v>
      </c>
      <c r="G171" s="946"/>
      <c r="H171" s="1057"/>
      <c r="I171" s="1086"/>
      <c r="J171" s="1056"/>
      <c r="K171" s="942" t="str">
        <f>IF(K168=$S$14,$T$10,IF(AND($O$3=$U$3,ROUNDDOWN(K168,0)=$S$10),$U$10,$T$10))</f>
        <v>　レベル　2</v>
      </c>
      <c r="L171" s="3148"/>
      <c r="M171" s="3149"/>
      <c r="N171" s="3148" t="s">
        <v>366</v>
      </c>
      <c r="O171" s="3149"/>
    </row>
    <row r="172" spans="2:15" ht="60" hidden="1" customHeight="1">
      <c r="B172" s="1">
        <v>4</v>
      </c>
      <c r="C172" s="1">
        <v>4</v>
      </c>
      <c r="D172" s="908"/>
      <c r="E172" s="1059"/>
      <c r="F172" s="942" t="str">
        <f>IF(F168=$S$14,$T$11,IF(AND($O$3=$U$3,ROUNDDOWN(F168,0)=$S$11),$U$11,$T$11))</f>
        <v>　レベル　3</v>
      </c>
      <c r="G172" s="3148" t="s">
        <v>2663</v>
      </c>
      <c r="H172" s="3171"/>
      <c r="I172" s="3171"/>
      <c r="J172" s="3172"/>
      <c r="K172" s="942" t="str">
        <f>IF(K168=$S$14,$T$11,IF(AND($O$3=$U$3,ROUNDDOWN(K168,0)=$S$11),$U$11,$T$11))</f>
        <v>　レベル　3</v>
      </c>
      <c r="L172" s="3148" t="s">
        <v>1785</v>
      </c>
      <c r="M172" s="3149"/>
      <c r="N172" s="3148" t="s">
        <v>367</v>
      </c>
      <c r="O172" s="3149"/>
    </row>
    <row r="173" spans="2:15" ht="45" hidden="1" customHeight="1">
      <c r="B173" s="1">
        <v>5</v>
      </c>
      <c r="C173" s="1">
        <v>5</v>
      </c>
      <c r="D173" s="908"/>
      <c r="E173" s="1059"/>
      <c r="F173" s="942" t="str">
        <f>IF(F168=$S$14,$T$12,IF(AND($O$3=$U$3,ROUNDDOWN(F168,0)=$S$12),$U$12,$T$12))</f>
        <v>　レベル　4</v>
      </c>
      <c r="G173" s="946"/>
      <c r="H173" s="1057"/>
      <c r="I173" s="1086"/>
      <c r="J173" s="952"/>
      <c r="K173" s="942" t="str">
        <f>IF(K168=$S$14,$T$12,IF(AND($O$3=$U$3,ROUNDDOWN(K168,0)=$S$12),$U$12,$T$12))</f>
        <v>　レベル　4</v>
      </c>
      <c r="L173" s="3148"/>
      <c r="M173" s="3149"/>
      <c r="N173" s="3148" t="s">
        <v>2178</v>
      </c>
      <c r="O173" s="3149"/>
    </row>
    <row r="174" spans="2:15" ht="60" hidden="1" customHeight="1">
      <c r="B174" s="960">
        <v>0</v>
      </c>
      <c r="C174" s="960">
        <v>0</v>
      </c>
      <c r="D174" s="908"/>
      <c r="E174" s="1059"/>
      <c r="F174" s="953" t="str">
        <f>IF(F168=$S$14,$T$13,IF(AND($O$3=$U$3,ROUNDDOWN(F168,0)=$S$13),$U$13,$T$13))</f>
        <v>　レベル　5</v>
      </c>
      <c r="G174" s="3146" t="s">
        <v>2664</v>
      </c>
      <c r="H174" s="3168"/>
      <c r="I174" s="3168"/>
      <c r="J174" s="3169"/>
      <c r="K174" s="953" t="str">
        <f>IF(K168=$S$14,$T$13,IF(AND($O$3=$U$3,ROUNDDOWN(K168,0)=$S$13),$U$13,$T$13))</f>
        <v>　レベル　5</v>
      </c>
      <c r="L174" s="3148" t="s">
        <v>1786</v>
      </c>
      <c r="M174" s="3149"/>
      <c r="N174" s="3148" t="s">
        <v>368</v>
      </c>
      <c r="O174" s="3149"/>
    </row>
    <row r="175" spans="2:15" ht="15.5" hidden="1">
      <c r="D175" s="908"/>
      <c r="E175" s="1059"/>
      <c r="F175" s="1048"/>
      <c r="G175" s="935" t="s">
        <v>1265</v>
      </c>
      <c r="H175" s="1067"/>
      <c r="I175" s="1067"/>
      <c r="J175" s="1067"/>
      <c r="K175" s="1048"/>
      <c r="L175" s="1067" t="s">
        <v>1265</v>
      </c>
      <c r="M175" s="1067"/>
      <c r="N175" s="1067"/>
      <c r="O175" s="1087"/>
    </row>
    <row r="176" spans="2:15" ht="84.75" customHeight="1">
      <c r="D176" s="908"/>
      <c r="E176" s="1059"/>
      <c r="F176" s="1049" t="str">
        <f>IF(F168=$S$14,$T$9,IF(AND($O$3&lt;&gt;$U$3,ROUNDDOWN(F168,0)=$S$9),$U$9,$T$9))</f>
        <v>　レベル　1</v>
      </c>
      <c r="G176" s="3144" t="s">
        <v>2665</v>
      </c>
      <c r="H176" s="3145"/>
      <c r="I176" s="3145"/>
      <c r="J176" s="3162"/>
      <c r="K176" s="1049" t="str">
        <f>IF(K168=$S$14,$T$9,IF(AND($O$3&lt;&gt;$U$3,ROUNDDOWN(K168,0)=$S$9),$U$9,$T$9))</f>
        <v>　レベル　1</v>
      </c>
      <c r="L176" s="3144" t="s">
        <v>3384</v>
      </c>
      <c r="M176" s="3162"/>
      <c r="N176" s="3148" t="s">
        <v>3388</v>
      </c>
      <c r="O176" s="3149"/>
    </row>
    <row r="177" spans="2:16" ht="49.5" customHeight="1">
      <c r="D177" s="908"/>
      <c r="E177" s="1059"/>
      <c r="F177" s="942" t="str">
        <f>IF(F168=$S$14,$T$10,IF(AND($O$3&lt;&gt;$U$3,ROUNDDOWN(F168,0)=$S$10),$U$10,$T$10))</f>
        <v>　レベル　2</v>
      </c>
      <c r="G177" s="3148"/>
      <c r="H177" s="3154"/>
      <c r="I177" s="3154"/>
      <c r="J177" s="3149"/>
      <c r="K177" s="942" t="str">
        <f>IF(K168=$S$14,$T$10,IF(AND($O$3&lt;&gt;$U$3,ROUNDDOWN(K168,0)=$S$10),$U$10,$T$10))</f>
        <v>　レベル　2</v>
      </c>
      <c r="L177" s="946"/>
      <c r="M177" s="1057"/>
      <c r="N177" s="3148" t="s">
        <v>3386</v>
      </c>
      <c r="O177" s="3149"/>
    </row>
    <row r="178" spans="2:16" ht="98.25" customHeight="1">
      <c r="D178" s="908"/>
      <c r="E178" s="1059"/>
      <c r="F178" s="942" t="str">
        <f>IF(F168=$S$14,$T$11,IF(AND($O$3&lt;&gt;$U$3,ROUNDDOWN(F168,0)=$S$11),$U$11,$T$11))</f>
        <v>■レベル　3</v>
      </c>
      <c r="G178" s="3148" t="s">
        <v>2901</v>
      </c>
      <c r="H178" s="3154"/>
      <c r="I178" s="3154"/>
      <c r="J178" s="3149"/>
      <c r="K178" s="942" t="str">
        <f>IF(K168=$S$14,$T$11,IF(AND($O$3&lt;&gt;$U$3,ROUNDDOWN(K168,0)=$S$11),$U$11,$T$11))</f>
        <v>■レベル　3</v>
      </c>
      <c r="L178" s="3148" t="s">
        <v>2902</v>
      </c>
      <c r="M178" s="3149"/>
      <c r="N178" s="3148" t="s">
        <v>3387</v>
      </c>
      <c r="O178" s="3149"/>
    </row>
    <row r="179" spans="2:16" ht="42.75" customHeight="1">
      <c r="D179" s="908"/>
      <c r="E179" s="1059"/>
      <c r="F179" s="942" t="str">
        <f>IF(F168=$S$14,$T$12,IF(AND($O$3&lt;&gt;$U$3,ROUNDDOWN(F168,0)=$S$12),$U$12,$T$12))</f>
        <v>　レベル　4</v>
      </c>
      <c r="G179" s="3148"/>
      <c r="H179" s="3154"/>
      <c r="I179" s="3154"/>
      <c r="J179" s="3149"/>
      <c r="K179" s="942" t="str">
        <f>IF(K168=$S$14,$T$12,IF(AND($O$3&lt;&gt;$U$3,ROUNDDOWN(K168,0)=$S$12),$U$12,$T$12))</f>
        <v>　レベル　4</v>
      </c>
      <c r="L179" s="946"/>
      <c r="M179" s="1057"/>
      <c r="N179" s="3148" t="s">
        <v>3389</v>
      </c>
      <c r="O179" s="3149"/>
    </row>
    <row r="180" spans="2:16" ht="98.25" customHeight="1">
      <c r="D180" s="908"/>
      <c r="E180" s="1059"/>
      <c r="F180" s="953" t="str">
        <f>IF(F168=$S$14,$T$13,IF(AND($O$3&lt;&gt;$U$3,ROUNDDOWN(F168,0)=$S$13),$U$13,$T$13))</f>
        <v>　レベル　5</v>
      </c>
      <c r="G180" s="3146" t="s">
        <v>2833</v>
      </c>
      <c r="H180" s="3153"/>
      <c r="I180" s="3153"/>
      <c r="J180" s="3147"/>
      <c r="K180" s="953" t="str">
        <f>IF(K168=$S$14,$T$13,IF(AND($O$3&lt;&gt;$U$3,ROUNDDOWN(K168,0)=$S$13),$U$13,$T$13))</f>
        <v>　レベル　5</v>
      </c>
      <c r="L180" s="3146" t="s">
        <v>2903</v>
      </c>
      <c r="M180" s="3147"/>
      <c r="N180" s="3146" t="s">
        <v>3390</v>
      </c>
      <c r="O180" s="3147"/>
    </row>
    <row r="181" spans="2:16" s="2687" customFormat="1" ht="60" customHeight="1">
      <c r="D181"/>
      <c r="E181"/>
      <c r="F181" s="2867" t="s">
        <v>3391</v>
      </c>
      <c r="G181" s="2868" t="str">
        <f>計画書!F11</f>
        <v>等級４を超える水準</v>
      </c>
      <c r="H181" s="2868"/>
      <c r="I181" s="2868" t="str">
        <f>計画書!F12</f>
        <v>＜１～７地域＞</v>
      </c>
      <c r="J181" s="3181" t="str">
        <f>計画書!G12</f>
        <v>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v>
      </c>
      <c r="K181" s="3181"/>
      <c r="L181" s="3181"/>
      <c r="M181" s="3181"/>
      <c r="N181" s="3181"/>
      <c r="O181" s="3181"/>
      <c r="P181"/>
    </row>
    <row r="182" spans="2:16" s="2687" customFormat="1">
      <c r="D182"/>
      <c r="E182"/>
      <c r="F182" s="1448"/>
      <c r="G182" s="1448"/>
      <c r="H182" s="1448"/>
      <c r="I182" s="1448" t="str">
        <f>計画書!F13</f>
        <v>＜８地域＞</v>
      </c>
      <c r="J182" s="1448" t="str">
        <f>計画書!G13</f>
        <v>各住戸の開口部の平均日射熱取得率が12以下となること。</v>
      </c>
      <c r="K182" s="1448"/>
      <c r="L182" s="1448"/>
      <c r="M182" s="1448"/>
      <c r="N182" s="1448"/>
      <c r="O182" s="1448"/>
      <c r="P182"/>
    </row>
    <row r="183" spans="2:16" ht="15.5">
      <c r="D183" s="908"/>
      <c r="E183" s="913"/>
      <c r="F183" s="913"/>
      <c r="G183" s="1050"/>
      <c r="H183" s="1050"/>
      <c r="I183" s="1050"/>
      <c r="J183" s="1050"/>
      <c r="K183" s="1050"/>
      <c r="L183" s="1050"/>
      <c r="M183" s="1050"/>
      <c r="N183" s="1050"/>
      <c r="O183" s="1050"/>
    </row>
    <row r="184" spans="2:16" ht="15.5">
      <c r="D184" s="908"/>
      <c r="E184" s="1059"/>
      <c r="F184" s="1064" t="s">
        <v>2904</v>
      </c>
      <c r="G184" s="996"/>
      <c r="H184" s="1045"/>
      <c r="I184" s="1025"/>
      <c r="J184" s="999" t="e">
        <f>IF(OR(F186=0,J185=0),$R$3,"")</f>
        <v>#DIV/0!</v>
      </c>
      <c r="K184" s="1050"/>
      <c r="L184" s="1050"/>
      <c r="M184" s="1050"/>
      <c r="N184" s="1050"/>
      <c r="O184" s="1050"/>
    </row>
    <row r="185" spans="2:16" ht="15.75" customHeight="1" thickBot="1">
      <c r="D185" s="908"/>
      <c r="E185" s="1059"/>
      <c r="F185" s="1065" t="s">
        <v>2478</v>
      </c>
      <c r="G185" s="1066"/>
      <c r="H185" s="1067"/>
      <c r="I185" s="926" t="s">
        <v>1364</v>
      </c>
      <c r="J185" s="924" t="e">
        <f>重み!M25</f>
        <v>#DIV/0!</v>
      </c>
      <c r="K185" s="1066"/>
      <c r="L185" s="1068"/>
      <c r="M185" s="1092" t="s">
        <v>503</v>
      </c>
      <c r="N185" s="1093"/>
      <c r="O185" s="2443" t="s">
        <v>1325</v>
      </c>
    </row>
    <row r="186" spans="2:16" ht="27" customHeight="1" thickBot="1">
      <c r="D186" s="908"/>
      <c r="E186" s="1059"/>
      <c r="F186" s="930">
        <v>3</v>
      </c>
      <c r="G186" s="935" t="s">
        <v>3332</v>
      </c>
      <c r="H186" s="935"/>
      <c r="I186" s="936"/>
      <c r="J186" s="1046" t="s">
        <v>3061</v>
      </c>
      <c r="K186" s="935"/>
      <c r="L186" s="935"/>
      <c r="M186" s="1094" t="s">
        <v>1787</v>
      </c>
      <c r="N186" s="1095"/>
      <c r="O186" s="2444"/>
    </row>
    <row r="187" spans="2:16" ht="51.75" customHeight="1">
      <c r="B187" s="1">
        <v>1</v>
      </c>
      <c r="C187" s="1">
        <v>1</v>
      </c>
      <c r="D187" s="908"/>
      <c r="E187" s="1059"/>
      <c r="F187" s="937" t="str">
        <f>IF(F186=$S$14,$T$9,IF(ROUNDDOWN(F186,0)=$S$9,$U$9,$T$9))</f>
        <v>　レベル　1</v>
      </c>
      <c r="G187" s="3144" t="s">
        <v>1788</v>
      </c>
      <c r="H187" s="3164"/>
      <c r="I187" s="3150"/>
      <c r="J187" s="3144" t="s">
        <v>504</v>
      </c>
      <c r="K187" s="3145"/>
      <c r="L187" s="3145"/>
      <c r="M187" s="3177" t="s">
        <v>505</v>
      </c>
      <c r="N187" s="3178"/>
      <c r="O187" s="2445" t="s">
        <v>3067</v>
      </c>
    </row>
    <row r="188" spans="2:16" ht="15.5">
      <c r="B188" s="1">
        <v>2</v>
      </c>
      <c r="C188" s="1">
        <v>2</v>
      </c>
      <c r="D188" s="908"/>
      <c r="E188" s="1059"/>
      <c r="F188" s="942" t="str">
        <f>IF(F186=$S$14,$T$10,IF(ROUNDDOWN(F186,0)=$S$10,$U$10,$T$10))</f>
        <v>　レベル　2</v>
      </c>
      <c r="G188" s="1096"/>
      <c r="H188" s="1097"/>
      <c r="I188" s="1098"/>
      <c r="J188" s="946"/>
      <c r="K188" s="947"/>
      <c r="L188" s="947"/>
      <c r="M188" s="1099"/>
      <c r="N188" s="1100"/>
      <c r="O188" s="2446"/>
    </row>
    <row r="189" spans="2:16" ht="55.5" customHeight="1">
      <c r="B189" s="1">
        <v>3</v>
      </c>
      <c r="C189" s="1">
        <v>3</v>
      </c>
      <c r="D189" s="908"/>
      <c r="E189" s="1059"/>
      <c r="F189" s="942" t="str">
        <f>IF(F186=$S$14,$T$11,IF(ROUNDDOWN(F186,0)=$S$11,$U$11,$T$11))</f>
        <v>■レベル　3</v>
      </c>
      <c r="G189" s="3148" t="s">
        <v>506</v>
      </c>
      <c r="H189" s="3154"/>
      <c r="I189" s="3149"/>
      <c r="J189" s="3148" t="s">
        <v>340</v>
      </c>
      <c r="K189" s="3154"/>
      <c r="L189" s="3154"/>
      <c r="M189" s="3179" t="s">
        <v>341</v>
      </c>
      <c r="N189" s="3180"/>
      <c r="O189" s="2446"/>
    </row>
    <row r="190" spans="2:16" ht="55.5" customHeight="1">
      <c r="B190" s="1">
        <v>4</v>
      </c>
      <c r="C190" s="1">
        <v>4</v>
      </c>
      <c r="D190" s="908"/>
      <c r="E190" s="1059"/>
      <c r="F190" s="942" t="str">
        <f>IF(F186=$S$14,$T$12,IF(ROUNDDOWN(F186,0)=$S$12,$U$12,$T$12))</f>
        <v>　レベル　4</v>
      </c>
      <c r="G190" s="3148" t="s">
        <v>342</v>
      </c>
      <c r="H190" s="3154"/>
      <c r="I190" s="3149"/>
      <c r="J190" s="3148" t="s">
        <v>2172</v>
      </c>
      <c r="K190" s="3154"/>
      <c r="L190" s="3154"/>
      <c r="M190" s="3179" t="s">
        <v>343</v>
      </c>
      <c r="N190" s="3180"/>
      <c r="O190" s="2446"/>
    </row>
    <row r="191" spans="2:16" ht="60.75" customHeight="1">
      <c r="B191" s="1">
        <v>5</v>
      </c>
      <c r="C191" s="1">
        <v>5</v>
      </c>
      <c r="D191" s="908"/>
      <c r="E191" s="1059"/>
      <c r="F191" s="953" t="str">
        <f>IF(F186=$S$14,$T$13,IF(ROUNDDOWN(F186,0)=$S$13,$U$13,$T$13))</f>
        <v>　レベル　5</v>
      </c>
      <c r="G191" s="3146" t="s">
        <v>608</v>
      </c>
      <c r="H191" s="3153"/>
      <c r="I191" s="3147"/>
      <c r="J191" s="3146" t="s">
        <v>344</v>
      </c>
      <c r="K191" s="3153"/>
      <c r="L191" s="3153"/>
      <c r="M191" s="3185" t="s">
        <v>1897</v>
      </c>
      <c r="N191" s="3186"/>
      <c r="O191" s="2447"/>
    </row>
    <row r="192" spans="2:16" ht="15.5" hidden="1">
      <c r="B192" s="960">
        <v>0</v>
      </c>
      <c r="C192" s="960">
        <v>0</v>
      </c>
      <c r="D192" s="908"/>
      <c r="E192" s="909"/>
      <c r="F192" s="1101"/>
      <c r="G192" s="1102"/>
      <c r="H192" s="995"/>
      <c r="I192" s="1102"/>
      <c r="J192" s="995"/>
      <c r="K192" s="1050"/>
      <c r="L192" s="1050"/>
      <c r="M192" s="1050"/>
      <c r="N192" s="1050"/>
      <c r="O192" s="1050"/>
    </row>
    <row r="193" spans="2:15" ht="15.5" hidden="1">
      <c r="D193" s="908"/>
      <c r="E193" s="1058"/>
      <c r="F193" s="919" t="s">
        <v>1898</v>
      </c>
      <c r="G193" s="996"/>
      <c r="H193" s="1045"/>
      <c r="I193" s="1025"/>
      <c r="J193" s="999" t="e">
        <f>IF(OR(F195=0,AND(J194=0,O194=0)),$R$3,"")</f>
        <v>#DIV/0!</v>
      </c>
      <c r="K193" s="995"/>
      <c r="L193" s="996"/>
      <c r="M193" s="1045"/>
      <c r="N193" s="1025"/>
      <c r="O193" s="1025"/>
    </row>
    <row r="194" spans="2:15" ht="15.5" hidden="1">
      <c r="D194" s="908"/>
      <c r="E194" s="1058"/>
      <c r="F194" s="923" t="s">
        <v>2478</v>
      </c>
      <c r="G194" s="924"/>
      <c r="H194" s="925"/>
      <c r="I194" s="926" t="s">
        <v>1364</v>
      </c>
      <c r="J194" s="929" t="e">
        <f>重み!M26</f>
        <v>#DIV/0!</v>
      </c>
      <c r="K194" s="923" t="s">
        <v>1968</v>
      </c>
      <c r="L194" s="924"/>
      <c r="M194" s="925"/>
      <c r="N194" s="926" t="s">
        <v>1364</v>
      </c>
      <c r="O194" s="929" t="e">
        <f>重み!N26</f>
        <v>#DIV/0!</v>
      </c>
    </row>
    <row r="195" spans="2:15" ht="16" hidden="1" thickBot="1">
      <c r="D195" s="908"/>
      <c r="E195" s="1058"/>
      <c r="F195" s="930">
        <v>0</v>
      </c>
      <c r="G195" s="934" t="s">
        <v>1899</v>
      </c>
      <c r="H195" s="935"/>
      <c r="I195" s="935"/>
      <c r="J195" s="935"/>
      <c r="K195" s="930">
        <v>0</v>
      </c>
      <c r="L195" s="1046" t="s">
        <v>1118</v>
      </c>
      <c r="M195" s="936"/>
      <c r="N195" s="1046"/>
      <c r="O195" s="1051"/>
    </row>
    <row r="196" spans="2:15" ht="15.75" hidden="1" customHeight="1">
      <c r="B196" s="1">
        <v>1</v>
      </c>
      <c r="C196" s="1">
        <v>1</v>
      </c>
      <c r="D196" s="908"/>
      <c r="E196" s="1059"/>
      <c r="F196" s="937" t="str">
        <f>IF(F195=$S$14,$T$9,IF(ROUNDDOWN(F195,0)=$S$9,$U$9,$T$9))</f>
        <v>　レベル　1</v>
      </c>
      <c r="G196" s="3144" t="s">
        <v>1900</v>
      </c>
      <c r="H196" s="3164"/>
      <c r="I196" s="3164"/>
      <c r="J196" s="3150"/>
      <c r="K196" s="937" t="str">
        <f>IF(K195=$S$14,$T$9,IF(ROUNDDOWN(K195,0)=$S$9,$U$9,$T$9))</f>
        <v>　レベル　1</v>
      </c>
      <c r="L196" s="3144" t="s">
        <v>1900</v>
      </c>
      <c r="M196" s="3164"/>
      <c r="N196" s="3164"/>
      <c r="O196" s="3150"/>
    </row>
    <row r="197" spans="2:15" ht="15.75" hidden="1" customHeight="1">
      <c r="B197" s="1">
        <v>2</v>
      </c>
      <c r="C197" s="1">
        <v>2</v>
      </c>
      <c r="D197" s="908"/>
      <c r="E197" s="1059"/>
      <c r="F197" s="942" t="str">
        <f>IF(F195=$S$14,$T$10,IF(ROUNDDOWN(F195,0)=$S$10,$U$10,$T$10))</f>
        <v>　レベル　2</v>
      </c>
      <c r="G197" s="3148" t="s">
        <v>1901</v>
      </c>
      <c r="H197" s="3154"/>
      <c r="I197" s="3154"/>
      <c r="J197" s="3149"/>
      <c r="K197" s="942" t="str">
        <f>IF(K195=$S$14,$T$10,IF(ROUNDDOWN(K195,0)=$S$10,$U$10,$T$10))</f>
        <v>　レベル　2</v>
      </c>
      <c r="L197" s="3182" t="s">
        <v>1901</v>
      </c>
      <c r="M197" s="3183"/>
      <c r="N197" s="3183"/>
      <c r="O197" s="3184"/>
    </row>
    <row r="198" spans="2:15" ht="15.75" hidden="1" customHeight="1">
      <c r="B198" s="1">
        <v>3</v>
      </c>
      <c r="C198" s="1">
        <v>3</v>
      </c>
      <c r="D198" s="908"/>
      <c r="E198" s="1059"/>
      <c r="F198" s="942" t="str">
        <f>IF(F195=$S$14,$T$11,IF(ROUNDDOWN(F195,0)=$S$11,$U$11,$T$11))</f>
        <v>　レベル　3</v>
      </c>
      <c r="G198" s="3148" t="s">
        <v>1902</v>
      </c>
      <c r="H198" s="3154"/>
      <c r="I198" s="3154"/>
      <c r="J198" s="3149"/>
      <c r="K198" s="942" t="str">
        <f>IF(K195=$S$14,$T$11,IF(ROUNDDOWN(K195,0)=$S$11,$U$11,$T$11))</f>
        <v>　レベル　3</v>
      </c>
      <c r="L198" s="3182" t="s">
        <v>609</v>
      </c>
      <c r="M198" s="3183"/>
      <c r="N198" s="3183"/>
      <c r="O198" s="3184"/>
    </row>
    <row r="199" spans="2:15" ht="15.5" hidden="1">
      <c r="B199" s="1">
        <v>4</v>
      </c>
      <c r="C199" s="1">
        <v>4</v>
      </c>
      <c r="D199" s="908"/>
      <c r="E199" s="1059"/>
      <c r="F199" s="942" t="str">
        <f>IF(F195=$S$14,$T$12,IF(ROUNDDOWN(F195,0)=$S$12,$U$12,$T$12))</f>
        <v>　レベル　4</v>
      </c>
      <c r="G199" s="1103"/>
      <c r="H199" s="1104"/>
      <c r="I199" s="1097"/>
      <c r="J199" s="1098"/>
      <c r="K199" s="942" t="str">
        <f>IF(K195=$S$14,$T$12,IF(ROUNDDOWN(K195,0)=$S$12,$U$12,$T$12))</f>
        <v>　レベル　4</v>
      </c>
      <c r="L199" s="3182"/>
      <c r="M199" s="3183"/>
      <c r="N199" s="3183"/>
      <c r="O199" s="3184"/>
    </row>
    <row r="200" spans="2:15" ht="15.75" hidden="1" customHeight="1">
      <c r="B200" s="1">
        <v>5</v>
      </c>
      <c r="C200" s="1">
        <v>5</v>
      </c>
      <c r="D200" s="908"/>
      <c r="E200" s="1059"/>
      <c r="F200" s="953" t="str">
        <f>IF(F195=$S$14,$T$13,IF(ROUNDDOWN(F195,0)=$S$13,$U$13,$T$13))</f>
        <v>　レベル　5</v>
      </c>
      <c r="G200" s="3189" t="s">
        <v>1903</v>
      </c>
      <c r="H200" s="3190"/>
      <c r="I200" s="3190"/>
      <c r="J200" s="3191"/>
      <c r="K200" s="953" t="str">
        <f>IF(K195=$S$14,$T$13,IF(ROUNDDOWN(K195,0)=$S$13,$U$13,$T$13))</f>
        <v>　レベル　5</v>
      </c>
      <c r="L200" s="3189" t="s">
        <v>610</v>
      </c>
      <c r="M200" s="3190"/>
      <c r="N200" s="3190"/>
      <c r="O200" s="3191"/>
    </row>
    <row r="201" spans="2:15" ht="15.5" hidden="1">
      <c r="B201" s="960">
        <v>0</v>
      </c>
      <c r="C201" s="960">
        <v>0</v>
      </c>
      <c r="D201" s="908"/>
      <c r="E201" s="1059"/>
      <c r="F201" s="1105"/>
      <c r="G201" s="1083"/>
      <c r="H201" s="1081"/>
      <c r="I201" s="1081"/>
      <c r="J201" s="1081"/>
      <c r="K201" s="1083"/>
      <c r="L201" s="1083"/>
      <c r="M201" s="1083"/>
      <c r="N201" s="1083"/>
      <c r="O201" s="995"/>
    </row>
    <row r="202" spans="2:15" ht="15.5" hidden="1">
      <c r="D202" s="908"/>
      <c r="E202" s="1059"/>
      <c r="F202" s="919" t="s">
        <v>1904</v>
      </c>
      <c r="G202" s="996"/>
      <c r="H202" s="1045"/>
      <c r="I202" s="1025"/>
      <c r="J202" s="999" t="e">
        <f>IF(OR(F204=0,J203=0),$R$3,"")</f>
        <v>#DIV/0!</v>
      </c>
      <c r="K202" s="1083"/>
      <c r="L202" s="1083"/>
      <c r="M202" s="1083"/>
      <c r="N202" s="1083"/>
      <c r="O202" s="995"/>
    </row>
    <row r="203" spans="2:15" ht="15.5" hidden="1">
      <c r="D203" s="908"/>
      <c r="E203" s="1059"/>
      <c r="F203" s="923" t="s">
        <v>611</v>
      </c>
      <c r="G203" s="924"/>
      <c r="H203" s="925"/>
      <c r="I203" s="926" t="s">
        <v>1364</v>
      </c>
      <c r="J203" s="929" t="e">
        <f>重み!N27</f>
        <v>#DIV/0!</v>
      </c>
      <c r="K203" s="1083"/>
      <c r="L203" s="1083"/>
      <c r="M203" s="1083"/>
      <c r="N203" s="1083"/>
      <c r="O203" s="995"/>
    </row>
    <row r="204" spans="2:15" ht="16" hidden="1" thickBot="1">
      <c r="D204" s="908"/>
      <c r="E204" s="1059"/>
      <c r="F204" s="930">
        <v>0</v>
      </c>
      <c r="G204" s="3187" t="s">
        <v>1118</v>
      </c>
      <c r="H204" s="3188"/>
      <c r="I204" s="3188" t="s">
        <v>1905</v>
      </c>
      <c r="J204" s="3188"/>
      <c r="K204" s="1083"/>
      <c r="L204" s="1083"/>
      <c r="M204" s="1083"/>
      <c r="N204" s="1083"/>
      <c r="O204" s="995"/>
    </row>
    <row r="205" spans="2:15" ht="15.75" hidden="1" customHeight="1">
      <c r="B205" s="1">
        <v>1</v>
      </c>
      <c r="C205" s="1">
        <v>1</v>
      </c>
      <c r="D205" s="908"/>
      <c r="E205" s="1059"/>
      <c r="F205" s="937" t="str">
        <f>IF(F204=$S$14,$T$9,IF(ROUNDDOWN(F204,0)=$S$9,$U$9,$T$9))</f>
        <v>　レベル　1</v>
      </c>
      <c r="G205" s="3144" t="s">
        <v>1906</v>
      </c>
      <c r="H205" s="3150"/>
      <c r="I205" s="3144" t="s">
        <v>413</v>
      </c>
      <c r="J205" s="3162"/>
      <c r="K205" s="1083"/>
      <c r="L205" s="1083"/>
      <c r="M205" s="1083"/>
      <c r="N205" s="1083"/>
      <c r="O205" s="995"/>
    </row>
    <row r="206" spans="2:15" ht="15.5" hidden="1">
      <c r="B206" s="1">
        <v>2</v>
      </c>
      <c r="C206" s="1">
        <v>2</v>
      </c>
      <c r="D206" s="908"/>
      <c r="E206" s="1059"/>
      <c r="F206" s="942" t="str">
        <f>IF(F204=$S$14,$T$10,IF(ROUNDDOWN(F204,0)=$S$10,$U$10,$T$10))</f>
        <v>　レベル　2</v>
      </c>
      <c r="G206" s="950"/>
      <c r="H206" s="952"/>
      <c r="I206" s="950"/>
      <c r="J206" s="952"/>
      <c r="K206" s="1083"/>
      <c r="L206" s="1083"/>
      <c r="M206" s="1083"/>
      <c r="N206" s="1083"/>
      <c r="O206" s="995"/>
    </row>
    <row r="207" spans="2:15" ht="15.75" hidden="1" customHeight="1">
      <c r="B207" s="1">
        <v>3</v>
      </c>
      <c r="C207" s="1">
        <v>3</v>
      </c>
      <c r="D207" s="908"/>
      <c r="E207" s="1059"/>
      <c r="F207" s="942" t="str">
        <f>IF(F204=$S$14,$T$11,IF(ROUNDDOWN(F204,0)=$S$11,$U$11,$T$11))</f>
        <v>　レベル　3</v>
      </c>
      <c r="G207" s="3148" t="s">
        <v>1907</v>
      </c>
      <c r="H207" s="3192"/>
      <c r="I207" s="3148" t="s">
        <v>1908</v>
      </c>
      <c r="J207" s="3149"/>
      <c r="K207" s="1083"/>
      <c r="L207" s="1083"/>
      <c r="M207" s="1083"/>
      <c r="N207" s="1083"/>
      <c r="O207" s="995"/>
    </row>
    <row r="208" spans="2:15" ht="15.5" hidden="1">
      <c r="B208" s="1">
        <v>4</v>
      </c>
      <c r="C208" s="1">
        <v>4</v>
      </c>
      <c r="D208" s="908"/>
      <c r="E208" s="1059"/>
      <c r="F208" s="942" t="str">
        <f>IF(F204=$S$14,$T$12,IF(ROUNDDOWN(F204,0)=$S$12,$U$12,$T$12))</f>
        <v>　レベル　4</v>
      </c>
      <c r="G208" s="950"/>
      <c r="H208" s="952"/>
      <c r="I208" s="950"/>
      <c r="J208" s="952"/>
      <c r="K208" s="1083"/>
      <c r="L208" s="1083"/>
      <c r="M208" s="1083"/>
      <c r="N208" s="1083"/>
      <c r="O208" s="995"/>
    </row>
    <row r="209" spans="2:15" ht="15.75" hidden="1" customHeight="1">
      <c r="B209" s="1">
        <v>5</v>
      </c>
      <c r="C209" s="1">
        <v>5</v>
      </c>
      <c r="D209" s="908"/>
      <c r="E209" s="1059"/>
      <c r="F209" s="953" t="str">
        <f>IF(F204=$S$14,$T$13,IF(ROUNDDOWN(F204,0)=$S$13,$U$13,$T$13))</f>
        <v>　レベル　5</v>
      </c>
      <c r="G209" s="3146" t="s">
        <v>1909</v>
      </c>
      <c r="H209" s="3176"/>
      <c r="I209" s="3146" t="s">
        <v>1910</v>
      </c>
      <c r="J209" s="3147"/>
      <c r="K209" s="1083"/>
      <c r="L209" s="1083"/>
      <c r="M209" s="1083"/>
      <c r="N209" s="1083"/>
      <c r="O209" s="995"/>
    </row>
    <row r="210" spans="2:15" ht="15.5" hidden="1">
      <c r="B210" s="960">
        <v>0</v>
      </c>
      <c r="C210" s="960">
        <v>0</v>
      </c>
      <c r="D210" s="908"/>
      <c r="E210" s="1059"/>
      <c r="F210" s="1105"/>
      <c r="G210" s="1083"/>
      <c r="H210" s="1081"/>
      <c r="I210" s="1081"/>
      <c r="J210" s="1081"/>
      <c r="K210" s="1083"/>
      <c r="L210" s="1083"/>
      <c r="M210" s="1083"/>
      <c r="N210" s="1083"/>
      <c r="O210" s="995"/>
    </row>
    <row r="211" spans="2:15" ht="15.5" hidden="1">
      <c r="D211" s="908"/>
      <c r="E211" s="1058"/>
      <c r="F211" s="919" t="s">
        <v>289</v>
      </c>
      <c r="G211" s="996"/>
      <c r="H211" s="1045"/>
      <c r="I211" s="1025"/>
      <c r="J211" s="999" t="e">
        <f>IF(OR(F213=0,J212=0),$R$3,"")</f>
        <v>#DIV/0!</v>
      </c>
      <c r="K211" s="1084" t="s">
        <v>1911</v>
      </c>
      <c r="L211" s="996"/>
      <c r="M211" s="1045"/>
      <c r="N211" s="1025"/>
      <c r="O211" s="999" t="e">
        <f>IF(OR(K213=0,O212=0),$R$3,"")</f>
        <v>#DIV/0!</v>
      </c>
    </row>
    <row r="212" spans="2:15" ht="15.5" hidden="1">
      <c r="D212" s="908"/>
      <c r="E212" s="1058"/>
      <c r="F212" s="923" t="s">
        <v>290</v>
      </c>
      <c r="G212" s="924"/>
      <c r="H212" s="925"/>
      <c r="I212" s="926" t="s">
        <v>1364</v>
      </c>
      <c r="J212" s="929" t="e">
        <f>重み!M28</f>
        <v>#DIV/0!</v>
      </c>
      <c r="K212" s="923" t="s">
        <v>2019</v>
      </c>
      <c r="L212" s="924"/>
      <c r="M212" s="925"/>
      <c r="N212" s="926" t="s">
        <v>1364</v>
      </c>
      <c r="O212" s="929" t="e">
        <f>重み!M29</f>
        <v>#DIV/0!</v>
      </c>
    </row>
    <row r="213" spans="2:15" ht="16" hidden="1" thickBot="1">
      <c r="D213" s="908"/>
      <c r="E213" s="1058"/>
      <c r="F213" s="930">
        <v>0</v>
      </c>
      <c r="G213" s="934" t="s">
        <v>1912</v>
      </c>
      <c r="H213" s="935"/>
      <c r="I213" s="935"/>
      <c r="J213" s="936"/>
      <c r="K213" s="930">
        <v>0</v>
      </c>
      <c r="L213" s="1046" t="s">
        <v>1913</v>
      </c>
      <c r="M213" s="936"/>
      <c r="N213" s="1046"/>
      <c r="O213" s="1051"/>
    </row>
    <row r="214" spans="2:15" ht="15.75" hidden="1" customHeight="1">
      <c r="B214" s="1">
        <v>1</v>
      </c>
      <c r="C214" s="1">
        <v>1</v>
      </c>
      <c r="D214" s="908"/>
      <c r="E214" s="1059"/>
      <c r="F214" s="937" t="str">
        <f>IF(F213=$S$14,$T$9,IF(ROUNDDOWN(F213,0)=$S$9,$U$9,$T$9))</f>
        <v>　レベル　1</v>
      </c>
      <c r="G214" s="3144" t="s">
        <v>1914</v>
      </c>
      <c r="H214" s="3145"/>
      <c r="I214" s="3145"/>
      <c r="J214" s="3162"/>
      <c r="K214" s="937" t="str">
        <f>IF(K213=$S$14,$T$9,IF(ROUNDDOWN(K213,0)=$S$9,$U$9,$T$9))</f>
        <v>　レベル　1</v>
      </c>
      <c r="L214" s="3144" t="s">
        <v>1915</v>
      </c>
      <c r="M214" s="3164"/>
      <c r="N214" s="3164"/>
      <c r="O214" s="3150"/>
    </row>
    <row r="215" spans="2:15" ht="15.5" hidden="1">
      <c r="B215" s="1">
        <v>2</v>
      </c>
      <c r="C215" s="1">
        <v>2</v>
      </c>
      <c r="D215" s="908"/>
      <c r="E215" s="1059"/>
      <c r="F215" s="942" t="str">
        <f>IF(F213=$S$14,$T$10,IF(ROUNDDOWN(F213,0)=$S$10,$U$10,$T$10))</f>
        <v>　レベル　2</v>
      </c>
      <c r="G215" s="3148"/>
      <c r="H215" s="3154"/>
      <c r="I215" s="3154"/>
      <c r="J215" s="3149"/>
      <c r="K215" s="942" t="str">
        <f>IF(K213=$S$14,$T$10,IF(ROUNDDOWN(K213,0)=$S$10,$U$10,$T$10))</f>
        <v>　レベル　2</v>
      </c>
      <c r="L215" s="3182"/>
      <c r="M215" s="3183"/>
      <c r="N215" s="3183"/>
      <c r="O215" s="3184"/>
    </row>
    <row r="216" spans="2:15" ht="15.75" hidden="1" customHeight="1">
      <c r="B216" s="1">
        <v>3</v>
      </c>
      <c r="C216" s="1">
        <v>3</v>
      </c>
      <c r="D216" s="908"/>
      <c r="E216" s="1059"/>
      <c r="F216" s="942" t="str">
        <f>IF(F213=$S$14,$T$11,IF(ROUNDDOWN(F213,0)=$S$11,$U$11,$T$11))</f>
        <v>　レベル　3</v>
      </c>
      <c r="G216" s="3148" t="s">
        <v>443</v>
      </c>
      <c r="H216" s="3154"/>
      <c r="I216" s="3154"/>
      <c r="J216" s="3149"/>
      <c r="K216" s="942" t="str">
        <f>IF(K213=$S$14,$T$11,IF(ROUNDDOWN(K213,0)=$S$11,$U$11,$T$11))</f>
        <v>　レベル　3</v>
      </c>
      <c r="L216" s="3182" t="s">
        <v>291</v>
      </c>
      <c r="M216" s="3183"/>
      <c r="N216" s="3183"/>
      <c r="O216" s="3184"/>
    </row>
    <row r="217" spans="2:15" ht="15.5" hidden="1">
      <c r="B217" s="1">
        <v>4</v>
      </c>
      <c r="C217" s="1">
        <v>4</v>
      </c>
      <c r="D217" s="908"/>
      <c r="E217" s="1059"/>
      <c r="F217" s="942" t="str">
        <f>IF(F213=$S$14,$T$12,IF(ROUNDDOWN(F213,0)=$S$12,$U$12,$T$12))</f>
        <v>　レベル　4</v>
      </c>
      <c r="G217" s="3148"/>
      <c r="H217" s="3154"/>
      <c r="I217" s="3154"/>
      <c r="J217" s="3149"/>
      <c r="K217" s="942" t="str">
        <f>IF(K213=$S$14,$T$12,IF(ROUNDDOWN(K213,0)=$S$12,$U$12,$T$12))</f>
        <v>　レベル　4</v>
      </c>
      <c r="L217" s="3182"/>
      <c r="M217" s="3183"/>
      <c r="N217" s="3183"/>
      <c r="O217" s="3184"/>
    </row>
    <row r="218" spans="2:15" ht="18" hidden="1" customHeight="1">
      <c r="B218" s="1">
        <v>5</v>
      </c>
      <c r="C218" s="1">
        <v>5</v>
      </c>
      <c r="D218" s="908"/>
      <c r="E218" s="1059"/>
      <c r="F218" s="953" t="str">
        <f>IF(F213=$S$14,$T$13,IF(ROUNDDOWN(F213,0)=$S$13,$U$13,$T$13))</f>
        <v>　レベル　5</v>
      </c>
      <c r="G218" s="3146" t="s">
        <v>444</v>
      </c>
      <c r="H218" s="3153"/>
      <c r="I218" s="3153"/>
      <c r="J218" s="3147"/>
      <c r="K218" s="953" t="str">
        <f>IF(K213=$S$14,$T$13,IF(ROUNDDOWN(K213,0)=$S$13,$U$13,$T$13))</f>
        <v>　レベル　5</v>
      </c>
      <c r="L218" s="3173" t="s">
        <v>1646</v>
      </c>
      <c r="M218" s="3193"/>
      <c r="N218" s="3193"/>
      <c r="O218" s="3194"/>
    </row>
    <row r="219" spans="2:15" ht="15.5">
      <c r="B219" s="960">
        <v>0</v>
      </c>
      <c r="C219" s="960">
        <v>0</v>
      </c>
      <c r="D219" s="908"/>
      <c r="E219" s="909"/>
      <c r="F219" s="909"/>
      <c r="G219" s="995"/>
      <c r="H219" s="995"/>
      <c r="I219" s="995"/>
      <c r="J219" s="995"/>
      <c r="K219" s="995"/>
      <c r="L219" s="995"/>
      <c r="M219" s="995"/>
      <c r="N219" s="995"/>
      <c r="O219" s="995"/>
    </row>
    <row r="220" spans="2:15" ht="15.5">
      <c r="D220" s="1326">
        <v>2.2000000000000002</v>
      </c>
      <c r="E220" s="915" t="s">
        <v>445</v>
      </c>
      <c r="F220" s="919"/>
      <c r="G220" s="996"/>
      <c r="H220" s="1045"/>
      <c r="I220" s="1025"/>
      <c r="J220" s="999" t="e">
        <f>IF(OR(F222=0,AND(J221=0,O221=0)),$R$3,"")</f>
        <v>#DIV/0!</v>
      </c>
      <c r="K220" s="1084"/>
      <c r="L220" s="996"/>
      <c r="M220" s="1045"/>
      <c r="N220" s="1025"/>
      <c r="O220" s="999"/>
    </row>
    <row r="221" spans="2:15" ht="16" thickBot="1">
      <c r="D221" s="1106"/>
      <c r="E221" s="915"/>
      <c r="F221" s="923" t="s">
        <v>1647</v>
      </c>
      <c r="G221" s="924"/>
      <c r="H221" s="925"/>
      <c r="I221" s="926" t="s">
        <v>1364</v>
      </c>
      <c r="J221" s="929" t="e">
        <f>重み!M30</f>
        <v>#DIV/0!</v>
      </c>
      <c r="K221" s="923" t="s">
        <v>1968</v>
      </c>
      <c r="L221" s="924"/>
      <c r="M221" s="925"/>
      <c r="N221" s="926" t="s">
        <v>1364</v>
      </c>
      <c r="O221" s="929" t="e">
        <f>重み!N30</f>
        <v>#DIV/0!</v>
      </c>
    </row>
    <row r="222" spans="2:15" ht="27" customHeight="1" thickBot="1">
      <c r="D222" s="1106"/>
      <c r="E222" s="915"/>
      <c r="F222" s="930">
        <v>3</v>
      </c>
      <c r="G222" s="1046" t="s">
        <v>446</v>
      </c>
      <c r="H222" s="935"/>
      <c r="I222" s="1072" t="s">
        <v>447</v>
      </c>
      <c r="J222" s="936" t="s">
        <v>1365</v>
      </c>
      <c r="K222" s="930">
        <v>3</v>
      </c>
      <c r="L222" s="1046" t="s">
        <v>2661</v>
      </c>
      <c r="M222" s="936"/>
      <c r="N222" s="1046" t="s">
        <v>1648</v>
      </c>
      <c r="O222" s="1051"/>
    </row>
    <row r="223" spans="2:15" ht="15.5" hidden="1">
      <c r="B223" s="1">
        <v>1</v>
      </c>
      <c r="C223" s="1">
        <v>1</v>
      </c>
      <c r="D223" s="1106"/>
      <c r="E223" s="915"/>
      <c r="F223" s="1047"/>
      <c r="G223" s="1046" t="s">
        <v>1266</v>
      </c>
      <c r="H223" s="936"/>
      <c r="I223" s="935"/>
      <c r="J223" s="936"/>
      <c r="K223" s="1047"/>
      <c r="L223" s="1046" t="s">
        <v>1266</v>
      </c>
      <c r="M223" s="936"/>
      <c r="N223" s="1046"/>
      <c r="O223" s="936"/>
    </row>
    <row r="224" spans="2:15" ht="15.5" hidden="1">
      <c r="B224" s="1">
        <v>2</v>
      </c>
      <c r="C224" s="1">
        <v>2</v>
      </c>
      <c r="D224" s="1106"/>
      <c r="E224" s="915"/>
      <c r="F224" s="942" t="str">
        <f>IF(F222=$S$14,$T$9,IF(AND($O$3=$U$3,ROUNDDOWN(F222,0)=$S$9),$U$9,$T$9))</f>
        <v>　レベル　1</v>
      </c>
      <c r="G224" s="3144" t="s">
        <v>1649</v>
      </c>
      <c r="H224" s="3162"/>
      <c r="I224" s="1107" t="s">
        <v>1649</v>
      </c>
      <c r="J224" s="1107" t="s">
        <v>1649</v>
      </c>
      <c r="K224" s="942" t="str">
        <f>IF(K222=$S$14,$T$9,IF(AND($O$3=$U$3,ROUNDDOWN(K222,0)=$S$9),$U$9,$T$9))</f>
        <v>　レベル　1</v>
      </c>
      <c r="L224" s="3144" t="s">
        <v>1649</v>
      </c>
      <c r="M224" s="3162"/>
      <c r="N224" s="3144" t="s">
        <v>448</v>
      </c>
      <c r="O224" s="3162"/>
    </row>
    <row r="225" spans="2:15" ht="15.75" hidden="1" customHeight="1">
      <c r="B225" s="1">
        <v>3</v>
      </c>
      <c r="C225" s="1">
        <v>3</v>
      </c>
      <c r="D225" s="1106"/>
      <c r="E225" s="915"/>
      <c r="F225" s="942" t="str">
        <f>IF(F222=$S$14,$T$10,IF(AND($O$3=$U$3,ROUNDDOWN(F222,0)=$S$10),$U$10,$T$10))</f>
        <v>　レベル　2</v>
      </c>
      <c r="G225" s="3148"/>
      <c r="H225" s="3149"/>
      <c r="I225" s="950"/>
      <c r="J225" s="950"/>
      <c r="K225" s="942" t="str">
        <f>IF(K222=$S$14,$T$10,IF(AND($O$3=$U$3,ROUNDDOWN(K222,0)=$S$10),$U$10,$T$10))</f>
        <v>　レベル　2</v>
      </c>
      <c r="L225" s="3148"/>
      <c r="M225" s="3149"/>
      <c r="N225" s="3148" t="s">
        <v>2178</v>
      </c>
      <c r="O225" s="3149"/>
    </row>
    <row r="226" spans="2:15" ht="77.25" hidden="1" customHeight="1">
      <c r="B226" s="1">
        <v>4</v>
      </c>
      <c r="C226" s="1">
        <v>4</v>
      </c>
      <c r="D226" s="1106"/>
      <c r="E226" s="915"/>
      <c r="F226" s="942" t="str">
        <f>IF(F222=$S$14,$T$11,IF(AND($O$3=$U$3,ROUNDDOWN(F222,0)=$S$11),$U$11,$T$11))</f>
        <v>　レベル　3</v>
      </c>
      <c r="G226" s="3148" t="s">
        <v>1650</v>
      </c>
      <c r="H226" s="3149"/>
      <c r="I226" s="950" t="s">
        <v>1651</v>
      </c>
      <c r="J226" s="950" t="s">
        <v>300</v>
      </c>
      <c r="K226" s="942" t="str">
        <f>IF(K222=$S$14,$T$11,IF(AND($O$3=$U$3,ROUNDDOWN(K222,0)=$S$11),$U$11,$T$11))</f>
        <v>　レベル　3</v>
      </c>
      <c r="L226" s="3148" t="s">
        <v>1650</v>
      </c>
      <c r="M226" s="3149"/>
      <c r="N226" s="3148" t="s">
        <v>449</v>
      </c>
      <c r="O226" s="3149"/>
    </row>
    <row r="227" spans="2:15" ht="50.25" hidden="1" customHeight="1">
      <c r="B227" s="1">
        <v>5</v>
      </c>
      <c r="C227" s="1">
        <v>5</v>
      </c>
      <c r="D227" s="1106"/>
      <c r="E227" s="915"/>
      <c r="F227" s="942" t="str">
        <f>IF(F222=$S$14,$T$12,IF(AND($O$3=$U$3,ROUNDDOWN(F222,0)=$S$12),$U$12,$T$12))</f>
        <v>　レベル　4</v>
      </c>
      <c r="G227" s="3148"/>
      <c r="H227" s="3149"/>
      <c r="I227" s="950"/>
      <c r="J227" s="950"/>
      <c r="K227" s="942" t="str">
        <f>IF(K222=$S$14,$T$12,IF(AND($O$3=$U$3,ROUNDDOWN(K222,0)=$S$12),$U$12,$T$12))</f>
        <v>　レベル　4</v>
      </c>
      <c r="L227" s="3148"/>
      <c r="M227" s="3149"/>
      <c r="N227" s="3148" t="s">
        <v>450</v>
      </c>
      <c r="O227" s="3149"/>
    </row>
    <row r="228" spans="2:15" ht="73.5" hidden="1" customHeight="1">
      <c r="B228" s="960">
        <v>0</v>
      </c>
      <c r="C228" s="960">
        <v>0</v>
      </c>
      <c r="D228" s="1106"/>
      <c r="E228" s="915"/>
      <c r="F228" s="953" t="str">
        <f>IF(F222=$S$14,$T$13,IF(AND($O$3=$U$3,ROUNDDOWN(F222,0)=$S$13),$U$13,$T$13))</f>
        <v>　レベル　5</v>
      </c>
      <c r="G228" s="3146" t="s">
        <v>301</v>
      </c>
      <c r="H228" s="3147"/>
      <c r="I228" s="954" t="s">
        <v>302</v>
      </c>
      <c r="J228" s="954" t="s">
        <v>302</v>
      </c>
      <c r="K228" s="953" t="str">
        <f>IF(K222=$S$14,$T$13,IF(AND($O$3=$U$3,ROUNDDOWN(K222,0)=$S$13),$U$13,$T$13))</f>
        <v>　レベル　5</v>
      </c>
      <c r="L228" s="3146" t="s">
        <v>301</v>
      </c>
      <c r="M228" s="3147"/>
      <c r="N228" s="3146" t="s">
        <v>303</v>
      </c>
      <c r="O228" s="3147"/>
    </row>
    <row r="229" spans="2:15" ht="15.5" hidden="1">
      <c r="D229" s="908"/>
      <c r="E229" s="909"/>
      <c r="F229" s="1048"/>
      <c r="G229" s="1067" t="s">
        <v>1265</v>
      </c>
      <c r="H229" s="1067"/>
      <c r="I229" s="1067"/>
      <c r="J229" s="1087"/>
      <c r="K229" s="1048"/>
      <c r="L229" s="1067" t="s">
        <v>1265</v>
      </c>
      <c r="M229" s="1067"/>
      <c r="N229" s="1067"/>
      <c r="O229" s="1087"/>
    </row>
    <row r="230" spans="2:15" ht="21" customHeight="1">
      <c r="D230" s="908"/>
      <c r="E230" s="909"/>
      <c r="F230" s="1049" t="str">
        <f>IF(F222=$S$14,$T$9,IF(AND($O$3&lt;&gt;$U$3,ROUNDDOWN(F222,0)=$S$9),$U$9,$T$9))</f>
        <v>　レベル　1</v>
      </c>
      <c r="G230" s="3144" t="s">
        <v>304</v>
      </c>
      <c r="H230" s="3195"/>
      <c r="I230" s="1107" t="s">
        <v>304</v>
      </c>
      <c r="J230" s="1107" t="s">
        <v>304</v>
      </c>
      <c r="K230" s="1049" t="str">
        <f>IF(K222=$S$14,$T$9,IF(AND($O$3&lt;&gt;$U$3,ROUNDDOWN(K222,0)=$S$9),$U$9,$T$9))</f>
        <v>　レベル　1</v>
      </c>
      <c r="L230" s="3144" t="s">
        <v>304</v>
      </c>
      <c r="M230" s="3150"/>
      <c r="N230" s="3144" t="s">
        <v>305</v>
      </c>
      <c r="O230" s="3162"/>
    </row>
    <row r="231" spans="2:15" ht="21" customHeight="1">
      <c r="D231" s="908"/>
      <c r="E231" s="909"/>
      <c r="F231" s="942" t="str">
        <f>IF(F222=$S$14,$T$10,IF(AND($O$3&lt;&gt;$U$3,ROUNDDOWN(F222,0)=$S$10),$U$10,$T$10))</f>
        <v>　レベル　2</v>
      </c>
      <c r="G231" s="950"/>
      <c r="H231" s="952"/>
      <c r="I231" s="950"/>
      <c r="J231" s="950"/>
      <c r="K231" s="942" t="str">
        <f>IF(K222=$S$14,$T$10,IF(AND($O$3&lt;&gt;$U$3,ROUNDDOWN(K222,0)=$S$10),$U$10,$T$10))</f>
        <v>　レベル　2</v>
      </c>
      <c r="L231" s="950"/>
      <c r="M231" s="952"/>
      <c r="N231" s="3182" t="s">
        <v>2178</v>
      </c>
      <c r="O231" s="3184"/>
    </row>
    <row r="232" spans="2:15" ht="97.5" customHeight="1">
      <c r="D232" s="908"/>
      <c r="E232" s="909"/>
      <c r="F232" s="942" t="str">
        <f>IF(F222=$S$14,$T$11,IF(AND($O$3&lt;&gt;$U$3,ROUNDDOWN(F222,0)=$S$11),$U$11,$T$11))</f>
        <v>■レベル　3</v>
      </c>
      <c r="G232" s="3148" t="s">
        <v>306</v>
      </c>
      <c r="H232" s="3196"/>
      <c r="I232" s="950" t="s">
        <v>307</v>
      </c>
      <c r="J232" s="950" t="s">
        <v>308</v>
      </c>
      <c r="K232" s="942" t="str">
        <f>IF(K222=$S$14,$T$11,IF(AND($O$3&lt;&gt;$U$3,ROUNDDOWN(K222,0)=$S$11),$U$11,$T$11))</f>
        <v>■レベル　3</v>
      </c>
      <c r="L232" s="3148" t="s">
        <v>309</v>
      </c>
      <c r="M232" s="3192"/>
      <c r="N232" s="3148" t="s">
        <v>663</v>
      </c>
      <c r="O232" s="3149"/>
    </row>
    <row r="233" spans="2:15" ht="56.25" customHeight="1">
      <c r="D233" s="908"/>
      <c r="E233" s="909"/>
      <c r="F233" s="942" t="str">
        <f>IF(F222=$S$14,$T$12,IF(AND($O$3&lt;&gt;$U$3,ROUNDDOWN(F222,0)=$S$12),$U$12,$T$12))</f>
        <v>　レベル　4</v>
      </c>
      <c r="G233" s="950"/>
      <c r="H233" s="952"/>
      <c r="I233" s="950"/>
      <c r="J233" s="950"/>
      <c r="K233" s="942" t="str">
        <f>IF(K222=$S$14,$T$12,IF(AND($O$3&lt;&gt;$U$3,ROUNDDOWN(K222,0)=$S$12),$U$12,$T$12))</f>
        <v>　レベル　4</v>
      </c>
      <c r="L233" s="950"/>
      <c r="M233" s="952"/>
      <c r="N233" s="3148" t="s">
        <v>664</v>
      </c>
      <c r="O233" s="3149"/>
    </row>
    <row r="234" spans="2:15" ht="103.5" customHeight="1">
      <c r="D234" s="908"/>
      <c r="E234" s="909"/>
      <c r="F234" s="953" t="str">
        <f>IF(F222=$S$14,$T$13,IF(AND($O$3&lt;&gt;$U$3,ROUNDDOWN(F222,0)=$S$13),$U$13,$T$13))</f>
        <v>　レベル　5</v>
      </c>
      <c r="G234" s="3146" t="s">
        <v>665</v>
      </c>
      <c r="H234" s="3197"/>
      <c r="I234" s="954" t="s">
        <v>665</v>
      </c>
      <c r="J234" s="954" t="s">
        <v>2494</v>
      </c>
      <c r="K234" s="953" t="str">
        <f>IF(K222=$S$14,$T$13,IF(AND($O$3&lt;&gt;$U$3,ROUNDDOWN(K222,0)=$S$13),$U$13,$T$13))</f>
        <v>　レベル　5</v>
      </c>
      <c r="L234" s="3146" t="s">
        <v>665</v>
      </c>
      <c r="M234" s="3176"/>
      <c r="N234" s="3146" t="s">
        <v>131</v>
      </c>
      <c r="O234" s="3147"/>
    </row>
    <row r="235" spans="2:15" ht="13.5" customHeight="1">
      <c r="D235" s="908"/>
      <c r="E235" s="909"/>
      <c r="F235" s="1101"/>
      <c r="G235" s="1102"/>
      <c r="H235" s="1102"/>
      <c r="I235" s="995"/>
      <c r="J235" s="995"/>
      <c r="K235" s="995"/>
      <c r="L235" s="995"/>
      <c r="M235" s="995"/>
      <c r="N235" s="995"/>
      <c r="O235" s="995"/>
    </row>
    <row r="236" spans="2:15" ht="15.5">
      <c r="D236" s="908"/>
      <c r="E236" s="909"/>
      <c r="F236" s="1101"/>
      <c r="G236" s="1102"/>
      <c r="H236" s="1102"/>
      <c r="I236" s="995"/>
      <c r="J236" s="995"/>
      <c r="K236" s="995"/>
      <c r="L236" s="995"/>
      <c r="M236" s="995"/>
      <c r="N236" s="995"/>
      <c r="O236" s="995"/>
    </row>
    <row r="237" spans="2:15" ht="15.5">
      <c r="D237" s="1326">
        <v>2.2999999999999998</v>
      </c>
      <c r="E237" s="915" t="s">
        <v>273</v>
      </c>
      <c r="F237" s="919"/>
      <c r="G237" s="996"/>
      <c r="H237" s="1045"/>
      <c r="I237" s="1025"/>
      <c r="J237" s="999" t="e">
        <f>IF(OR(F239=0,AND(J238=0,O238=0)),$R$3,"")</f>
        <v>#DIV/0!</v>
      </c>
      <c r="K237" s="1084"/>
      <c r="L237" s="996"/>
      <c r="M237" s="1045"/>
      <c r="N237" s="1025"/>
      <c r="O237" s="999"/>
    </row>
    <row r="238" spans="2:15" ht="16" thickBot="1">
      <c r="D238" s="1106"/>
      <c r="E238" s="915"/>
      <c r="F238" s="923" t="s">
        <v>487</v>
      </c>
      <c r="G238" s="924"/>
      <c r="H238" s="925"/>
      <c r="I238" s="926" t="s">
        <v>1364</v>
      </c>
      <c r="J238" s="929" t="e">
        <f>重み!M31</f>
        <v>#DIV/0!</v>
      </c>
      <c r="K238" s="923" t="s">
        <v>1968</v>
      </c>
      <c r="L238" s="924"/>
      <c r="M238" s="925"/>
      <c r="N238" s="926" t="s">
        <v>1364</v>
      </c>
      <c r="O238" s="929" t="e">
        <f>重み!N31</f>
        <v>#DIV/0!</v>
      </c>
    </row>
    <row r="239" spans="2:15" ht="27" customHeight="1" thickBot="1">
      <c r="D239" s="1106"/>
      <c r="E239" s="915"/>
      <c r="F239" s="930">
        <v>5</v>
      </c>
      <c r="G239" s="3198" t="s">
        <v>2495</v>
      </c>
      <c r="H239" s="3187"/>
      <c r="I239" s="1072" t="s">
        <v>2439</v>
      </c>
      <c r="J239" s="936"/>
      <c r="K239" s="930">
        <v>3</v>
      </c>
      <c r="L239" s="1046" t="s">
        <v>2661</v>
      </c>
      <c r="M239" s="936"/>
      <c r="N239" s="1046" t="s">
        <v>1180</v>
      </c>
      <c r="O239" s="1051"/>
    </row>
    <row r="240" spans="2:15" ht="15.5" hidden="1">
      <c r="B240" s="1">
        <v>1</v>
      </c>
      <c r="C240" s="1">
        <v>1</v>
      </c>
      <c r="D240" s="1106"/>
      <c r="E240" s="915"/>
      <c r="F240" s="1085"/>
      <c r="G240" s="1046" t="s">
        <v>1266</v>
      </c>
      <c r="H240" s="935"/>
      <c r="I240" s="1046"/>
      <c r="J240" s="936"/>
      <c r="K240" s="1085"/>
      <c r="L240" s="935" t="s">
        <v>1266</v>
      </c>
      <c r="M240" s="1052"/>
      <c r="N240" s="1052"/>
      <c r="O240" s="1053"/>
    </row>
    <row r="241" spans="2:15" ht="65.25" customHeight="1">
      <c r="B241" s="1">
        <v>2</v>
      </c>
      <c r="C241" s="1">
        <v>2</v>
      </c>
      <c r="D241" s="1106"/>
      <c r="E241" s="915"/>
      <c r="F241" s="942" t="str">
        <f>IF(F239=$S$14,$T$9,IF(AND($O$3=$U$3,ROUNDDOWN(F239,0)=$S$9),$U$9,$T$9))</f>
        <v>　レベル　1</v>
      </c>
      <c r="G241" s="3144" t="s">
        <v>2030</v>
      </c>
      <c r="H241" s="3150"/>
      <c r="I241" s="3144" t="s">
        <v>2030</v>
      </c>
      <c r="J241" s="3162"/>
      <c r="K241" s="942" t="str">
        <f>IF(K239=$S$14,$T$9,IF(AND($O$3=$U$3,ROUNDDOWN(K239,0)=$S$9),$U$9,$T$9))</f>
        <v>　レベル　1</v>
      </c>
      <c r="L241" s="3144" t="s">
        <v>2030</v>
      </c>
      <c r="M241" s="3150"/>
      <c r="N241" s="3144" t="s">
        <v>2440</v>
      </c>
      <c r="O241" s="3162"/>
    </row>
    <row r="242" spans="2:15" ht="15.5">
      <c r="B242" s="1">
        <v>3</v>
      </c>
      <c r="C242" s="1">
        <v>3</v>
      </c>
      <c r="D242" s="1106"/>
      <c r="E242" s="915"/>
      <c r="F242" s="942" t="str">
        <f>IF(F239=$S$14,$T$10,IF(AND($O$3=$U$3,ROUNDDOWN(F239,0)=$S$10),$U$10,$T$10))</f>
        <v>　レベル　2</v>
      </c>
      <c r="G242" s="950"/>
      <c r="H242" s="1086"/>
      <c r="I242" s="3148"/>
      <c r="J242" s="3149"/>
      <c r="K242" s="942" t="str">
        <f>IF(K239=$S$14,$T$10,IF(AND($O$3=$U$3,ROUNDDOWN(K239,0)=$S$10),$U$10,$T$10))</f>
        <v>　レベル　2</v>
      </c>
      <c r="L242" s="950"/>
      <c r="M242" s="952"/>
      <c r="N242" s="950"/>
      <c r="O242" s="952"/>
    </row>
    <row r="243" spans="2:15" ht="65.25" customHeight="1">
      <c r="B243" s="1">
        <v>4</v>
      </c>
      <c r="C243" s="1">
        <v>4</v>
      </c>
      <c r="D243" s="1106"/>
      <c r="E243" s="915"/>
      <c r="F243" s="942" t="str">
        <f>IF(F239=$S$14,$T$11,IF(AND($O$3=$U$3,ROUNDDOWN(F239,0)=$S$11),$U$11,$T$11))</f>
        <v>　レベル　3</v>
      </c>
      <c r="G243" s="3148" t="s">
        <v>2031</v>
      </c>
      <c r="H243" s="3149"/>
      <c r="I243" s="3148" t="s">
        <v>2032</v>
      </c>
      <c r="J243" s="3149"/>
      <c r="K243" s="942" t="str">
        <f>IF(K239=$S$14,$T$11,IF(AND($O$3=$U$3,ROUNDDOWN(K239,0)=$S$11),$U$11,$T$11))</f>
        <v>　レベル　3</v>
      </c>
      <c r="L243" s="3148" t="s">
        <v>2031</v>
      </c>
      <c r="M243" s="3192"/>
      <c r="N243" s="3148" t="s">
        <v>2441</v>
      </c>
      <c r="O243" s="3149"/>
    </row>
    <row r="244" spans="2:15" ht="15.5">
      <c r="B244" s="1">
        <v>5</v>
      </c>
      <c r="C244" s="1">
        <v>5</v>
      </c>
      <c r="D244" s="1106"/>
      <c r="E244" s="915"/>
      <c r="F244" s="942" t="str">
        <f>IF(F239=$S$14,$T$12,IF(AND($O$3=$U$3,ROUNDDOWN(F239,0)=$S$12),$U$12,$T$12))</f>
        <v>　レベル　4</v>
      </c>
      <c r="G244" s="950"/>
      <c r="H244" s="1086"/>
      <c r="I244" s="3148"/>
      <c r="J244" s="3149"/>
      <c r="K244" s="942" t="str">
        <f>IF(K239=$S$14,$T$12,IF(AND($O$3=$U$3,ROUNDDOWN(K239,0)=$S$12),$U$12,$T$12))</f>
        <v>　レベル　4</v>
      </c>
      <c r="L244" s="950"/>
      <c r="M244" s="952"/>
      <c r="N244" s="3148"/>
      <c r="O244" s="3149"/>
    </row>
    <row r="245" spans="2:15" ht="65.25" customHeight="1">
      <c r="B245" s="960">
        <v>0</v>
      </c>
      <c r="C245" s="960">
        <v>0</v>
      </c>
      <c r="D245" s="1106"/>
      <c r="E245" s="915"/>
      <c r="F245" s="953" t="str">
        <f>IF(F239=$S$14,$T$13,IF(AND($O$3=$U$3,ROUNDDOWN(F239,0)=$S$13),$U$13,$T$13))</f>
        <v>　レベル　5</v>
      </c>
      <c r="G245" s="3146" t="s">
        <v>2033</v>
      </c>
      <c r="H245" s="3147"/>
      <c r="I245" s="3146" t="s">
        <v>2034</v>
      </c>
      <c r="J245" s="3147"/>
      <c r="K245" s="953" t="str">
        <f>IF(K239=$S$14,$T$13,IF(AND($O$3=$U$3,ROUNDDOWN(K239,0)=$S$13),$U$13,$T$13))</f>
        <v>　レベル　5</v>
      </c>
      <c r="L245" s="3146" t="s">
        <v>2033</v>
      </c>
      <c r="M245" s="3176"/>
      <c r="N245" s="3146" t="s">
        <v>2035</v>
      </c>
      <c r="O245" s="3147"/>
    </row>
    <row r="246" spans="2:15" ht="15.5" hidden="1">
      <c r="D246" s="1106"/>
      <c r="E246" s="915"/>
      <c r="F246" s="1108"/>
      <c r="G246" s="1091" t="s">
        <v>1265</v>
      </c>
      <c r="H246" s="1067"/>
      <c r="I246" s="1067"/>
      <c r="J246" s="1087"/>
      <c r="K246" s="1048"/>
      <c r="L246" s="1067" t="s">
        <v>1265</v>
      </c>
      <c r="M246" s="1067"/>
      <c r="N246" s="1067"/>
      <c r="O246" s="1087"/>
    </row>
    <row r="247" spans="2:15" ht="15.5" hidden="1">
      <c r="D247" s="1106"/>
      <c r="E247" s="915"/>
      <c r="F247" s="1049" t="str">
        <f>IF(F239=$S$14,$T$9,IF(AND($O$3&lt;&gt;$U$3,ROUNDDOWN(F239,0)=$S$9),$U$9,$T$9))</f>
        <v>　レベル　1</v>
      </c>
      <c r="G247" s="3202" t="s">
        <v>2036</v>
      </c>
      <c r="H247" s="3203"/>
      <c r="I247" s="3202" t="s">
        <v>2036</v>
      </c>
      <c r="J247" s="3204"/>
      <c r="K247" s="2869" t="str">
        <f>IF(K239=$S$14,$T$9,IF(AND($O$3&lt;&gt;$U$3,ROUNDDOWN(K239,0)=$S$9),$U$9,$T$9))</f>
        <v>　レベル　1</v>
      </c>
      <c r="L247" s="3202" t="s">
        <v>2036</v>
      </c>
      <c r="M247" s="3204"/>
      <c r="N247" s="3202" t="s">
        <v>2037</v>
      </c>
      <c r="O247" s="3203"/>
    </row>
    <row r="248" spans="2:15" ht="15.5" hidden="1">
      <c r="D248" s="1106"/>
      <c r="E248" s="915"/>
      <c r="F248" s="942" t="str">
        <f>IF(F239=$S$14,$T$10,IF(AND($O$3&lt;&gt;$U$3,ROUNDDOWN(F239,0)=$S$10),$U$10,$T$10))</f>
        <v>　レベル　2</v>
      </c>
      <c r="G248" s="2870"/>
      <c r="H248" s="2871"/>
      <c r="I248" s="2870"/>
      <c r="J248" s="2872"/>
      <c r="K248" s="2873" t="str">
        <f>IF(K239=$S$14,$T$10,IF(AND($O$3&lt;&gt;$U$3,ROUNDDOWN(K239,0)=$S$10),$U$10,$T$10))</f>
        <v>　レベル　2</v>
      </c>
      <c r="L248" s="2870"/>
      <c r="M248" s="2872"/>
      <c r="N248" s="2870"/>
      <c r="O248" s="2872"/>
    </row>
    <row r="249" spans="2:15" ht="15.5" hidden="1">
      <c r="D249" s="1106"/>
      <c r="E249" s="915"/>
      <c r="F249" s="942" t="str">
        <f>IF(F239=$S$14,$T$11,IF(AND($O$3&lt;&gt;$U$3,ROUNDDOWN(F239,0)=$S$11),$U$11,$T$11))</f>
        <v>　レベル　3</v>
      </c>
      <c r="G249" s="3199" t="s">
        <v>806</v>
      </c>
      <c r="H249" s="3200"/>
      <c r="I249" s="3199" t="s">
        <v>807</v>
      </c>
      <c r="J249" s="3201"/>
      <c r="K249" s="2873" t="str">
        <f>IF(K239=$S$14,$T$11,IF(AND($O$3&lt;&gt;$U$3,ROUNDDOWN(K239,0)=$S$11),$U$11,$T$11))</f>
        <v>■レベル　3</v>
      </c>
      <c r="L249" s="3199" t="s">
        <v>806</v>
      </c>
      <c r="M249" s="3201"/>
      <c r="N249" s="3199" t="s">
        <v>1594</v>
      </c>
      <c r="O249" s="3200"/>
    </row>
    <row r="250" spans="2:15" ht="15.5" hidden="1">
      <c r="D250" s="1106"/>
      <c r="E250" s="915"/>
      <c r="F250" s="942" t="str">
        <f>IF(F239=$S$14,$T$12,IF(AND($O$3&lt;&gt;$U$3,ROUNDDOWN(F239,0)=$S$12),$U$12,$T$12))</f>
        <v>　レベル　4</v>
      </c>
      <c r="G250" s="2870"/>
      <c r="H250" s="2871"/>
      <c r="I250" s="2870"/>
      <c r="J250" s="2872"/>
      <c r="K250" s="2873" t="str">
        <f>IF(K239=$S$14,$T$12,IF(AND($O$3&lt;&gt;$U$3,ROUNDDOWN(K239,0)=$S$12),$U$12,$T$12))</f>
        <v>　レベル　4</v>
      </c>
      <c r="L250" s="2870"/>
      <c r="M250" s="2872"/>
      <c r="N250" s="3199"/>
      <c r="O250" s="3200"/>
    </row>
    <row r="251" spans="2:15" ht="15.5" hidden="1">
      <c r="D251" s="1106"/>
      <c r="E251" s="915"/>
      <c r="F251" s="953" t="str">
        <f>IF(F239=$S$14,$T$13,IF(AND($O$3&lt;&gt;$U$3,ROUNDDOWN(F239,0)=$S$13),$U$13,$T$13))</f>
        <v>■レベル　5</v>
      </c>
      <c r="G251" s="3205" t="s">
        <v>1595</v>
      </c>
      <c r="H251" s="3206"/>
      <c r="I251" s="3205" t="s">
        <v>2442</v>
      </c>
      <c r="J251" s="3207"/>
      <c r="K251" s="2874" t="str">
        <f>IF(K239=$S$14,$T$13,IF(AND($O$3&lt;&gt;$U$3,ROUNDDOWN(K239,0)=$S$13),$U$13,$T$13))</f>
        <v>　レベル　5</v>
      </c>
      <c r="L251" s="3205" t="s">
        <v>1596</v>
      </c>
      <c r="M251" s="3207"/>
      <c r="N251" s="3205" t="s">
        <v>1597</v>
      </c>
      <c r="O251" s="3206"/>
    </row>
    <row r="252" spans="2:15" ht="15.5" hidden="1">
      <c r="D252" s="908"/>
      <c r="E252" s="1059"/>
      <c r="F252" s="1059"/>
      <c r="G252" s="1109" t="s">
        <v>1598</v>
      </c>
      <c r="H252" s="1110"/>
      <c r="I252" s="1110"/>
      <c r="J252" s="1110"/>
      <c r="K252" s="1110"/>
      <c r="L252" s="1110"/>
      <c r="M252" s="1110"/>
      <c r="N252" s="1110"/>
      <c r="O252" s="1110"/>
    </row>
    <row r="253" spans="2:15" ht="15.5" hidden="1">
      <c r="D253" s="908"/>
      <c r="E253" s="1059"/>
      <c r="F253" s="1059"/>
      <c r="G253" s="1109"/>
      <c r="H253" s="1110"/>
      <c r="I253" s="1110"/>
      <c r="J253" s="1110"/>
      <c r="K253" s="1110"/>
      <c r="L253" s="1110"/>
      <c r="M253" s="1110"/>
      <c r="N253" s="1110"/>
      <c r="O253" s="1110"/>
    </row>
    <row r="254" spans="2:15" ht="15.5" hidden="1">
      <c r="D254" s="908"/>
      <c r="E254" s="1059"/>
      <c r="F254" s="919" t="s">
        <v>2443</v>
      </c>
      <c r="G254" s="996"/>
      <c r="H254" s="1045"/>
      <c r="I254" s="1025"/>
      <c r="J254" s="999" t="e">
        <f>IF(OR(F256=0,J255=0),$R$3,"")</f>
        <v>#DIV/0!</v>
      </c>
      <c r="K254" s="1084" t="s">
        <v>2444</v>
      </c>
      <c r="L254" s="996"/>
      <c r="M254" s="1045"/>
      <c r="N254" s="1025"/>
      <c r="O254" s="999" t="e">
        <f>IF(OR(K256=0,O255=0),$R$3,"")</f>
        <v>#DIV/0!</v>
      </c>
    </row>
    <row r="255" spans="2:15" ht="16" hidden="1" thickBot="1">
      <c r="D255" s="908"/>
      <c r="E255" s="1059"/>
      <c r="F255" s="923" t="s">
        <v>1599</v>
      </c>
      <c r="G255" s="924"/>
      <c r="H255" s="925"/>
      <c r="I255" s="926" t="s">
        <v>1364</v>
      </c>
      <c r="J255" s="929" t="e">
        <f>重み!M33</f>
        <v>#DIV/0!</v>
      </c>
      <c r="K255" s="923" t="s">
        <v>2019</v>
      </c>
      <c r="L255" s="924"/>
      <c r="M255" s="925"/>
      <c r="N255" s="926" t="s">
        <v>1364</v>
      </c>
      <c r="O255" s="929" t="e">
        <f>重み!M34</f>
        <v>#DIV/0!</v>
      </c>
    </row>
    <row r="256" spans="2:15" ht="16" hidden="1" thickBot="1">
      <c r="D256" s="908"/>
      <c r="E256" s="1059"/>
      <c r="F256" s="930">
        <v>0</v>
      </c>
      <c r="G256" s="934" t="s">
        <v>2445</v>
      </c>
      <c r="H256" s="935"/>
      <c r="I256" s="935"/>
      <c r="J256" s="1072"/>
      <c r="K256" s="930">
        <v>0</v>
      </c>
      <c r="L256" s="934" t="s">
        <v>2445</v>
      </c>
      <c r="M256" s="935"/>
      <c r="N256" s="935"/>
      <c r="O256" s="1072"/>
    </row>
    <row r="257" spans="2:15" ht="15.5" hidden="1">
      <c r="B257" s="1">
        <v>1</v>
      </c>
      <c r="C257" s="1">
        <v>1</v>
      </c>
      <c r="D257" s="908"/>
      <c r="E257" s="1059"/>
      <c r="F257" s="937" t="str">
        <f>IF(F256=$S$14,$T$9,IF(ROUNDDOWN(F256,0)=$S$9,$U$9,$T$9))</f>
        <v>　レベル　1</v>
      </c>
      <c r="G257" s="3144" t="s">
        <v>1600</v>
      </c>
      <c r="H257" s="3164"/>
      <c r="I257" s="3164"/>
      <c r="J257" s="3150"/>
      <c r="K257" s="937" t="str">
        <f>IF(K256=$S$14,$T$9,IF(ROUNDDOWN(K256,0)=$S$9,$U$9,$T$9))</f>
        <v>　レベル　1</v>
      </c>
      <c r="L257" s="3144" t="s">
        <v>2446</v>
      </c>
      <c r="M257" s="3164"/>
      <c r="N257" s="3164"/>
      <c r="O257" s="3150"/>
    </row>
    <row r="258" spans="2:15" ht="15.5" hidden="1">
      <c r="B258" s="1">
        <v>2</v>
      </c>
      <c r="C258" s="1">
        <v>2</v>
      </c>
      <c r="D258" s="908"/>
      <c r="E258" s="1059"/>
      <c r="F258" s="942" t="str">
        <f>IF(F256=$S$14,$T$10,IF(ROUNDDOWN(F256,0)=$S$10,$U$10,$T$10))</f>
        <v>　レベル　2</v>
      </c>
      <c r="G258" s="3148"/>
      <c r="H258" s="3154"/>
      <c r="I258" s="3154"/>
      <c r="J258" s="3149"/>
      <c r="K258" s="942" t="str">
        <f>IF(K256=$S$14,$T$10,IF(ROUNDDOWN(K256,0)=$S$10,$U$10,$T$10))</f>
        <v>　レベル　2</v>
      </c>
      <c r="L258" s="3148" t="s">
        <v>2447</v>
      </c>
      <c r="M258" s="3154"/>
      <c r="N258" s="3154"/>
      <c r="O258" s="3149"/>
    </row>
    <row r="259" spans="2:15" ht="15.5" hidden="1">
      <c r="B259" s="1">
        <v>3</v>
      </c>
      <c r="C259" s="1">
        <v>3</v>
      </c>
      <c r="D259" s="908"/>
      <c r="E259" s="1059"/>
      <c r="F259" s="942" t="str">
        <f>IF(F256=$S$14,$T$11,IF(ROUNDDOWN(F256,0)=$S$11,$U$11,$T$11))</f>
        <v>　レベル　3</v>
      </c>
      <c r="G259" s="3148" t="s">
        <v>1601</v>
      </c>
      <c r="H259" s="3154"/>
      <c r="I259" s="3154"/>
      <c r="J259" s="3149"/>
      <c r="K259" s="942" t="str">
        <f>IF(K256=$S$14,$T$11,IF(ROUNDDOWN(K256,0)=$S$11,$U$11,$T$11))</f>
        <v>　レベル　3</v>
      </c>
      <c r="L259" s="3148" t="s">
        <v>2448</v>
      </c>
      <c r="M259" s="3154"/>
      <c r="N259" s="3154"/>
      <c r="O259" s="3149"/>
    </row>
    <row r="260" spans="2:15" ht="15.5" hidden="1">
      <c r="B260" s="1">
        <v>4</v>
      </c>
      <c r="C260" s="1">
        <v>4</v>
      </c>
      <c r="D260" s="908"/>
      <c r="E260" s="1059"/>
      <c r="F260" s="942" t="str">
        <f>IF(F256=$S$14,$T$12,IF(ROUNDDOWN(F256,0)=$S$12,$U$12,$T$12))</f>
        <v>　レベル　4</v>
      </c>
      <c r="G260" s="3148"/>
      <c r="H260" s="3154"/>
      <c r="I260" s="3154"/>
      <c r="J260" s="3149"/>
      <c r="K260" s="942" t="str">
        <f>IF(K256=$S$14,$T$12,IF(ROUNDDOWN(K256,0)=$S$12,$U$12,$T$12))</f>
        <v>　レベル　4</v>
      </c>
      <c r="L260" s="3148" t="s">
        <v>2449</v>
      </c>
      <c r="M260" s="3154"/>
      <c r="N260" s="3154"/>
      <c r="O260" s="3149"/>
    </row>
    <row r="261" spans="2:15" ht="15.5" hidden="1">
      <c r="B261" s="1">
        <v>5</v>
      </c>
      <c r="C261" s="1">
        <v>5</v>
      </c>
      <c r="D261" s="908"/>
      <c r="E261" s="1059"/>
      <c r="F261" s="953" t="str">
        <f>IF(F256=$S$14,$T$13,IF(ROUNDDOWN(F256,0)=$S$13,$U$13,$T$13))</f>
        <v>　レベル　5</v>
      </c>
      <c r="G261" s="3146" t="s">
        <v>2450</v>
      </c>
      <c r="H261" s="3153"/>
      <c r="I261" s="3153"/>
      <c r="J261" s="3147"/>
      <c r="K261" s="953" t="str">
        <f>IF(K256=$S$14,$T$13,IF(ROUNDDOWN(K256,0)=$S$13,$U$13,$T$13))</f>
        <v>　レベル　5</v>
      </c>
      <c r="L261" s="3146" t="s">
        <v>2451</v>
      </c>
      <c r="M261" s="3153"/>
      <c r="N261" s="3153"/>
      <c r="O261" s="3147"/>
    </row>
    <row r="262" spans="2:15" ht="15.5">
      <c r="B262" s="960">
        <v>0</v>
      </c>
      <c r="C262" s="960">
        <v>0</v>
      </c>
      <c r="D262" s="908"/>
      <c r="E262" s="1059"/>
      <c r="F262" s="1059"/>
      <c r="G262" s="1109"/>
      <c r="H262" s="1110"/>
      <c r="I262" s="1110"/>
      <c r="J262" s="1110"/>
      <c r="K262" s="1110"/>
      <c r="L262" s="1110"/>
      <c r="M262" s="1110"/>
      <c r="N262" s="1110"/>
      <c r="O262" s="1110"/>
    </row>
    <row r="263" spans="2:15" ht="15.5">
      <c r="D263" s="1326">
        <v>3</v>
      </c>
      <c r="E263" s="1042" t="s">
        <v>894</v>
      </c>
      <c r="F263" s="916"/>
      <c r="G263" s="1044"/>
      <c r="H263" s="1044"/>
      <c r="I263" s="1044"/>
      <c r="J263" s="1044"/>
      <c r="K263" s="1044"/>
      <c r="L263" s="1044"/>
      <c r="M263" s="1044"/>
      <c r="N263" s="1044"/>
      <c r="O263" s="1044"/>
    </row>
    <row r="264" spans="2:15" ht="15.5">
      <c r="D264" s="1326">
        <v>3.1</v>
      </c>
      <c r="E264" s="1042" t="s">
        <v>895</v>
      </c>
      <c r="F264" s="916"/>
      <c r="G264" s="1043"/>
      <c r="H264" s="1044"/>
      <c r="I264" s="1111"/>
      <c r="J264" s="1111"/>
      <c r="K264" s="1044"/>
      <c r="L264" s="1043"/>
      <c r="M264" s="1044"/>
      <c r="N264" s="1044"/>
      <c r="O264" s="1044"/>
    </row>
    <row r="265" spans="2:15" ht="15.5">
      <c r="D265" s="908"/>
      <c r="E265" s="913"/>
      <c r="F265" s="919" t="s">
        <v>896</v>
      </c>
      <c r="G265" s="996"/>
      <c r="H265" s="1045"/>
      <c r="I265" s="1025"/>
      <c r="J265" s="999" t="e">
        <f>IF(OR(F267=0,AND(J266=0,O266=0)),$R$3,"")</f>
        <v>#DIV/0!</v>
      </c>
      <c r="K265" s="1084"/>
      <c r="L265" s="996"/>
      <c r="M265" s="1045"/>
      <c r="N265" s="1025"/>
      <c r="O265" s="999"/>
    </row>
    <row r="266" spans="2:15" ht="16" thickBot="1">
      <c r="D266" s="908"/>
      <c r="E266" s="913"/>
      <c r="F266" s="923" t="s">
        <v>1781</v>
      </c>
      <c r="G266" s="924"/>
      <c r="H266" s="925"/>
      <c r="I266" s="926" t="s">
        <v>1364</v>
      </c>
      <c r="J266" s="929" t="e">
        <f>重み!M37</f>
        <v>#DIV/0!</v>
      </c>
      <c r="K266" s="923" t="s">
        <v>1968</v>
      </c>
      <c r="L266" s="924"/>
      <c r="M266" s="925"/>
      <c r="N266" s="926" t="s">
        <v>1364</v>
      </c>
      <c r="O266" s="929" t="e">
        <f>重み!N37</f>
        <v>#DIV/0!</v>
      </c>
    </row>
    <row r="267" spans="2:15" ht="27" customHeight="1" thickBot="1">
      <c r="D267" s="908"/>
      <c r="E267" s="913"/>
      <c r="F267" s="930">
        <v>5</v>
      </c>
      <c r="G267" s="1046" t="s">
        <v>3062</v>
      </c>
      <c r="H267" s="935"/>
      <c r="I267" s="935"/>
      <c r="J267" s="936"/>
      <c r="K267" s="930">
        <v>3</v>
      </c>
      <c r="L267" s="1046" t="s">
        <v>1118</v>
      </c>
      <c r="M267" s="936"/>
      <c r="N267" s="1046" t="s">
        <v>1905</v>
      </c>
      <c r="O267" s="936"/>
    </row>
    <row r="268" spans="2:15" ht="15.5">
      <c r="B268" s="1">
        <v>1</v>
      </c>
      <c r="C268" s="1">
        <v>1</v>
      </c>
      <c r="D268" s="908"/>
      <c r="E268" s="913"/>
      <c r="F268" s="937" t="str">
        <f>IF(F267=$S$14,$T$9,IF(ROUNDDOWN(F267,0)=$S$9,$U$9,$T$9))</f>
        <v>　レベル　1</v>
      </c>
      <c r="G268" s="3144" t="s">
        <v>898</v>
      </c>
      <c r="H268" s="3164"/>
      <c r="I268" s="3164"/>
      <c r="J268" s="3150"/>
      <c r="K268" s="937" t="str">
        <f>IF(K267=$S$14,$T$9,IF(ROUNDDOWN(K267,0)=$S$9,$U$9,$T$9))</f>
        <v>　レベル　1</v>
      </c>
      <c r="L268" s="3144" t="s">
        <v>1602</v>
      </c>
      <c r="M268" s="3162"/>
      <c r="N268" s="3144" t="s">
        <v>899</v>
      </c>
      <c r="O268" s="3162"/>
    </row>
    <row r="269" spans="2:15" ht="15.75" customHeight="1">
      <c r="B269" s="1">
        <v>2</v>
      </c>
      <c r="C269" s="1">
        <v>2</v>
      </c>
      <c r="D269" s="908"/>
      <c r="E269" s="913"/>
      <c r="F269" s="942" t="str">
        <f>IF(F267=$S$14,$T$10,IF(ROUNDDOWN(F267,0)=$S$10,$U$10,$T$10))</f>
        <v>　レベル　2</v>
      </c>
      <c r="G269" s="3148" t="s">
        <v>900</v>
      </c>
      <c r="H269" s="3165"/>
      <c r="I269" s="3165"/>
      <c r="J269" s="3192"/>
      <c r="K269" s="942" t="str">
        <f>IF(K267=$S$14,$T$10,IF(ROUNDDOWN(K267,0)=$S$10,$U$10,$T$10))</f>
        <v>　レベル　2</v>
      </c>
      <c r="L269" s="3148" t="s">
        <v>901</v>
      </c>
      <c r="M269" s="3149"/>
      <c r="N269" s="3148" t="s">
        <v>902</v>
      </c>
      <c r="O269" s="3149"/>
    </row>
    <row r="270" spans="2:15" ht="15.75" customHeight="1">
      <c r="B270" s="1">
        <v>3</v>
      </c>
      <c r="C270" s="1">
        <v>3</v>
      </c>
      <c r="D270" s="908"/>
      <c r="E270" s="913"/>
      <c r="F270" s="942" t="str">
        <f>IF(F267=$S$14,$T$11,IF(ROUNDDOWN(F267,0)=$S$11,$U$11,$T$11))</f>
        <v>　レベル　3</v>
      </c>
      <c r="G270" s="3182" t="s">
        <v>903</v>
      </c>
      <c r="H270" s="3183"/>
      <c r="I270" s="3183"/>
      <c r="J270" s="3184"/>
      <c r="K270" s="942" t="str">
        <f>IF(K267=$S$14,$T$11,IF(ROUNDDOWN(K267,0)=$S$11,$U$11,$T$11))</f>
        <v>■レベル　3</v>
      </c>
      <c r="L270" s="3148" t="s">
        <v>1603</v>
      </c>
      <c r="M270" s="3149"/>
      <c r="N270" s="3148" t="s">
        <v>900</v>
      </c>
      <c r="O270" s="3149"/>
    </row>
    <row r="271" spans="2:15" ht="15.75" customHeight="1">
      <c r="B271" s="1">
        <v>4</v>
      </c>
      <c r="C271" s="1">
        <v>4</v>
      </c>
      <c r="D271" s="908"/>
      <c r="E271" s="913"/>
      <c r="F271" s="942" t="str">
        <f>IF(F267=$S$14,$T$12,IF(ROUNDDOWN(F267,0)=$S$12,$U$12,$T$12))</f>
        <v>　レベル　4</v>
      </c>
      <c r="G271" s="3148" t="s">
        <v>904</v>
      </c>
      <c r="H271" s="3165"/>
      <c r="I271" s="3165"/>
      <c r="J271" s="3192"/>
      <c r="K271" s="942" t="str">
        <f>IF(K267=$S$14,$T$12,IF(ROUNDDOWN(K267,0)=$S$12,$U$12,$T$12))</f>
        <v>　レベル　4</v>
      </c>
      <c r="L271" s="3148" t="s">
        <v>2838</v>
      </c>
      <c r="M271" s="3149"/>
      <c r="N271" s="3148" t="s">
        <v>903</v>
      </c>
      <c r="O271" s="3149"/>
    </row>
    <row r="272" spans="2:15" ht="15.5">
      <c r="B272" s="1">
        <v>5</v>
      </c>
      <c r="C272" s="1">
        <v>5</v>
      </c>
      <c r="D272" s="908"/>
      <c r="E272" s="913"/>
      <c r="F272" s="953" t="str">
        <f>IF(F267=$S$14,$T$13,IF(ROUNDDOWN(F267,0)=$S$13,$U$13,$T$13))</f>
        <v>■レベル　5</v>
      </c>
      <c r="G272" s="3173" t="s">
        <v>905</v>
      </c>
      <c r="H272" s="3193"/>
      <c r="I272" s="3193"/>
      <c r="J272" s="3194"/>
      <c r="K272" s="953" t="str">
        <f>IF(K267=$S$14,$T$13,IF(ROUNDDOWN(K267,0)=$S$13,$U$13,$T$13))</f>
        <v>　レベル　5</v>
      </c>
      <c r="L272" s="3146" t="s">
        <v>2839</v>
      </c>
      <c r="M272" s="3147"/>
      <c r="N272" s="3146" t="s">
        <v>2840</v>
      </c>
      <c r="O272" s="3147"/>
    </row>
    <row r="273" spans="2:15" ht="15.5">
      <c r="B273" s="960">
        <v>0</v>
      </c>
      <c r="C273" s="960">
        <v>0</v>
      </c>
      <c r="D273" s="908"/>
      <c r="E273" s="913"/>
      <c r="F273" s="1080"/>
      <c r="G273" s="1081"/>
      <c r="H273" s="1062"/>
      <c r="I273" s="1081"/>
      <c r="J273" s="1081"/>
      <c r="K273" s="1082"/>
      <c r="L273" s="1083"/>
      <c r="M273" s="1083"/>
      <c r="N273" s="1081"/>
      <c r="O273" s="1081"/>
    </row>
    <row r="274" spans="2:15" ht="15.5">
      <c r="D274" s="908"/>
      <c r="E274" s="913"/>
      <c r="F274" s="919" t="s">
        <v>906</v>
      </c>
      <c r="G274" s="996"/>
      <c r="H274" s="1045"/>
      <c r="I274" s="1025"/>
      <c r="J274" s="999" t="e">
        <f>IF(OR(F276=0,J275=0),$R$3,"")</f>
        <v>#DIV/0!</v>
      </c>
      <c r="K274" s="1082"/>
      <c r="L274" s="1083"/>
      <c r="M274" s="1083"/>
      <c r="N274" s="1081"/>
      <c r="O274" s="1081"/>
    </row>
    <row r="275" spans="2:15" ht="16" thickBot="1">
      <c r="D275" s="908"/>
      <c r="E275" s="913"/>
      <c r="F275" s="923" t="s">
        <v>2841</v>
      </c>
      <c r="G275" s="924"/>
      <c r="H275" s="925"/>
      <c r="I275" s="926" t="s">
        <v>1364</v>
      </c>
      <c r="J275" s="929" t="e">
        <f>重み!N38</f>
        <v>#DIV/0!</v>
      </c>
      <c r="K275" s="1082"/>
      <c r="L275" s="1083"/>
      <c r="M275" s="1083"/>
      <c r="N275" s="1081"/>
      <c r="O275" s="1081"/>
    </row>
    <row r="276" spans="2:15" ht="27" customHeight="1" thickBot="1">
      <c r="D276" s="908"/>
      <c r="E276" s="913"/>
      <c r="F276" s="930">
        <v>3</v>
      </c>
      <c r="G276" s="1046" t="s">
        <v>1905</v>
      </c>
      <c r="H276" s="935"/>
      <c r="I276" s="935"/>
      <c r="J276" s="936"/>
      <c r="K276" s="1082"/>
      <c r="L276" s="1083"/>
      <c r="M276" s="1083"/>
      <c r="N276" s="1081"/>
      <c r="O276" s="1081"/>
    </row>
    <row r="277" spans="2:15" ht="15.5">
      <c r="B277" s="1">
        <v>1</v>
      </c>
      <c r="C277" s="1">
        <v>1</v>
      </c>
      <c r="D277" s="908"/>
      <c r="E277" s="913"/>
      <c r="F277" s="937" t="str">
        <f>IF(F276=$S$14,$T$9,IF(ROUNDDOWN(F276,0)=$S$9,$U$9,$T$9))</f>
        <v>　レベル　1</v>
      </c>
      <c r="G277" s="3144" t="s">
        <v>907</v>
      </c>
      <c r="H277" s="3164"/>
      <c r="I277" s="3164"/>
      <c r="J277" s="3150"/>
      <c r="K277" s="1082"/>
      <c r="L277" s="1083"/>
      <c r="M277" s="1083"/>
      <c r="N277" s="1081"/>
      <c r="O277" s="1081"/>
    </row>
    <row r="278" spans="2:15" ht="15.5">
      <c r="B278" s="1" t="s">
        <v>2842</v>
      </c>
      <c r="C278" s="1">
        <v>2</v>
      </c>
      <c r="D278" s="908"/>
      <c r="E278" s="913"/>
      <c r="F278" s="942" t="str">
        <f>IF(F276=$S$14,$T$10,IF(ROUNDDOWN(F276,0)=$S$10,$U$10,$T$10))</f>
        <v>　レベル　2</v>
      </c>
      <c r="G278" s="3148" t="s">
        <v>2178</v>
      </c>
      <c r="H278" s="3165"/>
      <c r="I278" s="3165"/>
      <c r="J278" s="3192"/>
      <c r="K278" s="1082"/>
      <c r="L278" s="1083"/>
      <c r="M278" s="1083"/>
      <c r="N278" s="1081"/>
      <c r="O278" s="1081"/>
    </row>
    <row r="279" spans="2:15" ht="15.5">
      <c r="B279" s="1">
        <v>3</v>
      </c>
      <c r="C279" s="1">
        <v>3</v>
      </c>
      <c r="D279" s="908"/>
      <c r="E279" s="913"/>
      <c r="F279" s="942" t="str">
        <f>IF(F276=$S$14,$T$11,IF(ROUNDDOWN(F276,0)=$S$11,$U$11,$T$11))</f>
        <v>■レベル　3</v>
      </c>
      <c r="G279" s="3148" t="s">
        <v>908</v>
      </c>
      <c r="H279" s="3165"/>
      <c r="I279" s="3165"/>
      <c r="J279" s="3192"/>
      <c r="K279" s="1082"/>
      <c r="L279" s="1083"/>
      <c r="M279" s="1083"/>
      <c r="N279" s="1081"/>
      <c r="O279" s="1081"/>
    </row>
    <row r="280" spans="2:15" ht="15.5">
      <c r="B280" s="1" t="s">
        <v>2842</v>
      </c>
      <c r="C280" s="1">
        <v>4</v>
      </c>
      <c r="D280" s="908"/>
      <c r="E280" s="913"/>
      <c r="F280" s="942" t="str">
        <f>IF(F276=$S$14,$T$12,IF(ROUNDDOWN(F276,0)=$S$12,$U$12,$T$12))</f>
        <v>　レベル　4</v>
      </c>
      <c r="G280" s="3148" t="s">
        <v>2178</v>
      </c>
      <c r="H280" s="3165"/>
      <c r="I280" s="3165"/>
      <c r="J280" s="3192"/>
      <c r="K280" s="1082"/>
      <c r="L280" s="1083"/>
      <c r="M280" s="1083"/>
      <c r="N280" s="1081"/>
      <c r="O280" s="1081"/>
    </row>
    <row r="281" spans="2:15" ht="15.5">
      <c r="B281" s="1">
        <v>5</v>
      </c>
      <c r="C281" s="1">
        <v>5</v>
      </c>
      <c r="D281" s="908"/>
      <c r="E281" s="913"/>
      <c r="F281" s="953" t="str">
        <f>IF(F276=$S$14,$T$13,IF(ROUNDDOWN(F276,0)=$S$13,$U$13,$T$13))</f>
        <v>　レベル　5</v>
      </c>
      <c r="G281" s="3173" t="s">
        <v>909</v>
      </c>
      <c r="H281" s="3193"/>
      <c r="I281" s="3193"/>
      <c r="J281" s="3194"/>
      <c r="K281" s="1082"/>
      <c r="L281" s="1083"/>
      <c r="M281" s="1083"/>
      <c r="N281" s="1081"/>
      <c r="O281" s="1081"/>
    </row>
    <row r="282" spans="2:15" ht="15.5">
      <c r="B282" s="960">
        <v>0</v>
      </c>
      <c r="C282" s="960">
        <v>0</v>
      </c>
      <c r="D282" s="908"/>
      <c r="E282" s="913"/>
      <c r="F282" s="1080"/>
      <c r="G282" s="1081"/>
      <c r="H282" s="1062"/>
      <c r="I282" s="1081"/>
      <c r="J282" s="1081"/>
      <c r="K282" s="1082"/>
      <c r="L282" s="1083"/>
      <c r="M282" s="1083"/>
      <c r="N282" s="1081"/>
      <c r="O282" s="1081"/>
    </row>
    <row r="283" spans="2:15" ht="15.5">
      <c r="D283" s="908"/>
      <c r="E283" s="913"/>
      <c r="F283" s="919" t="s">
        <v>910</v>
      </c>
      <c r="G283" s="996"/>
      <c r="H283" s="1045"/>
      <c r="I283" s="1025"/>
      <c r="J283" s="999" t="e">
        <f>IF(OR(F285=0,AND(J284=0,O284=0)),$R$3,"")</f>
        <v>#DIV/0!</v>
      </c>
      <c r="K283" s="1084"/>
      <c r="L283" s="996"/>
      <c r="M283" s="1045"/>
      <c r="N283" s="1025"/>
      <c r="O283" s="999"/>
    </row>
    <row r="284" spans="2:15" ht="16" thickBot="1">
      <c r="D284" s="908"/>
      <c r="E284" s="1058"/>
      <c r="F284" s="923" t="s">
        <v>2843</v>
      </c>
      <c r="G284" s="924"/>
      <c r="H284" s="925"/>
      <c r="I284" s="926" t="s">
        <v>1364</v>
      </c>
      <c r="J284" s="929" t="e">
        <f>重み!M39</f>
        <v>#DIV/0!</v>
      </c>
      <c r="K284" s="923" t="s">
        <v>1968</v>
      </c>
      <c r="L284" s="924"/>
      <c r="M284" s="925"/>
      <c r="N284" s="926" t="s">
        <v>1364</v>
      </c>
      <c r="O284" s="929" t="e">
        <f>重み!N39</f>
        <v>#DIV/0!</v>
      </c>
    </row>
    <row r="285" spans="2:15" ht="27.75" customHeight="1" thickBot="1">
      <c r="D285" s="908"/>
      <c r="E285" s="1058"/>
      <c r="F285" s="930">
        <v>4</v>
      </c>
      <c r="G285" s="1046" t="s">
        <v>911</v>
      </c>
      <c r="H285" s="935"/>
      <c r="I285" s="1046" t="s">
        <v>3063</v>
      </c>
      <c r="J285" s="936"/>
      <c r="K285" s="930">
        <v>3</v>
      </c>
      <c r="L285" s="1046" t="s">
        <v>912</v>
      </c>
      <c r="M285" s="936"/>
      <c r="N285" s="1046"/>
      <c r="O285" s="1051"/>
    </row>
    <row r="286" spans="2:15" ht="15.75" customHeight="1">
      <c r="B286" s="1" t="s">
        <v>2844</v>
      </c>
      <c r="C286" s="1" t="s">
        <v>2844</v>
      </c>
      <c r="D286" s="908"/>
      <c r="E286" s="1059"/>
      <c r="F286" s="937" t="str">
        <f>IF(F285=$S$14,$T$9,IF(ROUNDDOWN(F285,0)=$S$9,$U$9,$T$9))</f>
        <v>　レベル　1</v>
      </c>
      <c r="G286" s="3144" t="s">
        <v>2178</v>
      </c>
      <c r="H286" s="3150"/>
      <c r="I286" s="3144" t="s">
        <v>2178</v>
      </c>
      <c r="J286" s="3162"/>
      <c r="K286" s="937" t="str">
        <f>IF(K285=$S$14,$T$9,IF(ROUNDDOWN(K285,0)=$S$9,$U$9,$T$9))</f>
        <v>　レベル　1</v>
      </c>
      <c r="L286" s="3144" t="s">
        <v>2178</v>
      </c>
      <c r="M286" s="3164"/>
      <c r="N286" s="3164"/>
      <c r="O286" s="3150"/>
    </row>
    <row r="287" spans="2:15" ht="15.75" customHeight="1">
      <c r="B287" s="1" t="s">
        <v>2844</v>
      </c>
      <c r="C287" s="1" t="s">
        <v>2844</v>
      </c>
      <c r="D287" s="908"/>
      <c r="E287" s="1059"/>
      <c r="F287" s="942" t="str">
        <f>IF(F285=$S$14,$T$10,IF(ROUNDDOWN(F285,0)=$S$10,$U$10,$T$10))</f>
        <v>　レベル　2</v>
      </c>
      <c r="G287" s="3148" t="s">
        <v>2178</v>
      </c>
      <c r="H287" s="3149"/>
      <c r="I287" s="3148" t="s">
        <v>2178</v>
      </c>
      <c r="J287" s="3149"/>
      <c r="K287" s="942" t="str">
        <f>IF(K285=$S$14,$T$10,IF(ROUNDDOWN(K285,0)=$S$10,$U$10,$T$10))</f>
        <v>　レベル　2</v>
      </c>
      <c r="L287" s="3182" t="s">
        <v>2178</v>
      </c>
      <c r="M287" s="3183"/>
      <c r="N287" s="3183"/>
      <c r="O287" s="3184"/>
    </row>
    <row r="288" spans="2:15" ht="15.75" customHeight="1">
      <c r="B288" s="1">
        <v>3</v>
      </c>
      <c r="C288" s="1">
        <v>3</v>
      </c>
      <c r="D288" s="908"/>
      <c r="E288" s="1059"/>
      <c r="F288" s="942" t="str">
        <f>IF(F285=$S$14,$T$11,IF(ROUNDDOWN(F285,0)=$S$11,$U$11,$T$11))</f>
        <v>　レベル　3</v>
      </c>
      <c r="G288" s="3148" t="s">
        <v>913</v>
      </c>
      <c r="H288" s="3149"/>
      <c r="I288" s="3148" t="s">
        <v>2845</v>
      </c>
      <c r="J288" s="3149"/>
      <c r="K288" s="942" t="str">
        <f>IF(K285=$S$14,$T$11,IF(ROUNDDOWN(K285,0)=$S$11,$U$11,$T$11))</f>
        <v>■レベル　3</v>
      </c>
      <c r="L288" s="3182" t="s">
        <v>2845</v>
      </c>
      <c r="M288" s="3183"/>
      <c r="N288" s="3183"/>
      <c r="O288" s="3184"/>
    </row>
    <row r="289" spans="2:15" ht="15.75" customHeight="1">
      <c r="B289" s="1">
        <v>4</v>
      </c>
      <c r="C289" s="1" t="s">
        <v>2844</v>
      </c>
      <c r="D289" s="908"/>
      <c r="E289" s="1059"/>
      <c r="F289" s="942" t="str">
        <f>IF(F285=$S$14,$T$12,IF(ROUNDDOWN(F285,0)=$S$12,$U$12,$T$12))</f>
        <v>■レベル　4</v>
      </c>
      <c r="G289" s="3148" t="s">
        <v>914</v>
      </c>
      <c r="H289" s="3149"/>
      <c r="I289" s="3148" t="s">
        <v>2178</v>
      </c>
      <c r="J289" s="3149"/>
      <c r="K289" s="942" t="str">
        <f>IF(K285=$S$14,$T$12,IF(ROUNDDOWN(K285,0)=$S$12,$U$12,$T$12))</f>
        <v>　レベル　4</v>
      </c>
      <c r="L289" s="3182" t="s">
        <v>2178</v>
      </c>
      <c r="M289" s="3183"/>
      <c r="N289" s="3183"/>
      <c r="O289" s="3184"/>
    </row>
    <row r="290" spans="2:15" ht="33.75" customHeight="1">
      <c r="B290" s="1">
        <v>5</v>
      </c>
      <c r="C290" s="1">
        <v>5</v>
      </c>
      <c r="D290" s="908"/>
      <c r="E290" s="1059"/>
      <c r="F290" s="953" t="str">
        <f>IF(F285=$S$14,$T$13,IF(ROUNDDOWN(F285,0)=$S$13,$U$13,$T$13))</f>
        <v>　レベル　5</v>
      </c>
      <c r="G290" s="3146" t="s">
        <v>1506</v>
      </c>
      <c r="H290" s="3147"/>
      <c r="I290" s="3146" t="s">
        <v>1507</v>
      </c>
      <c r="J290" s="3147"/>
      <c r="K290" s="953" t="str">
        <f>IF(K285=$S$14,$T$13,IF(ROUNDDOWN(K285,0)=$S$13,$U$13,$T$13))</f>
        <v>　レベル　5</v>
      </c>
      <c r="L290" s="3173" t="s">
        <v>1507</v>
      </c>
      <c r="M290" s="3193"/>
      <c r="N290" s="3193"/>
      <c r="O290" s="3194"/>
    </row>
    <row r="291" spans="2:15" ht="15.5">
      <c r="B291" s="960">
        <v>0</v>
      </c>
      <c r="C291" s="960">
        <v>0</v>
      </c>
      <c r="D291" s="908"/>
      <c r="E291" s="909"/>
      <c r="F291" s="909"/>
      <c r="G291" s="995"/>
      <c r="H291" s="995"/>
      <c r="I291" s="995"/>
      <c r="J291" s="995"/>
      <c r="K291" s="995"/>
      <c r="L291" s="995"/>
      <c r="M291" s="995"/>
      <c r="N291" s="995"/>
      <c r="O291" s="995"/>
    </row>
    <row r="292" spans="2:15" ht="15.5">
      <c r="D292" s="1326">
        <v>3.2</v>
      </c>
      <c r="E292" s="1042" t="s">
        <v>915</v>
      </c>
      <c r="F292" s="916"/>
      <c r="G292" s="1043"/>
      <c r="H292" s="1044"/>
      <c r="I292" s="1044"/>
      <c r="J292" s="1044"/>
      <c r="K292" s="1044"/>
      <c r="L292" s="1043"/>
      <c r="M292" s="1044"/>
      <c r="N292" s="1044"/>
      <c r="O292" s="1044"/>
    </row>
    <row r="293" spans="2:15" ht="15.5" hidden="1">
      <c r="D293" s="908"/>
      <c r="E293" s="913"/>
      <c r="F293" s="2233" t="s">
        <v>916</v>
      </c>
      <c r="G293" s="996"/>
      <c r="H293" s="1045"/>
      <c r="I293" s="1025"/>
      <c r="J293" s="999" t="e">
        <f>IF(OR(F295=0,AND(J294=0,O294=0)),$R$3,"")</f>
        <v>#DIV/0!</v>
      </c>
      <c r="K293" s="1084"/>
      <c r="L293" s="996"/>
      <c r="M293" s="1045"/>
      <c r="N293" s="1025"/>
      <c r="O293" s="999"/>
    </row>
    <row r="294" spans="2:15" ht="15.5" hidden="1">
      <c r="D294" s="908"/>
      <c r="E294" s="913"/>
      <c r="F294" s="923" t="s">
        <v>1508</v>
      </c>
      <c r="G294" s="924"/>
      <c r="H294" s="925"/>
      <c r="I294" s="926" t="s">
        <v>1364</v>
      </c>
      <c r="J294" s="929" t="e">
        <f>重み!M41</f>
        <v>#DIV/0!</v>
      </c>
      <c r="K294" s="923" t="s">
        <v>1968</v>
      </c>
      <c r="L294" s="924"/>
      <c r="M294" s="925"/>
      <c r="N294" s="926" t="s">
        <v>1364</v>
      </c>
      <c r="O294" s="929" t="e">
        <f>重み!N41</f>
        <v>#DIV/0!</v>
      </c>
    </row>
    <row r="295" spans="2:15" ht="16" hidden="1" thickBot="1">
      <c r="D295" s="908"/>
      <c r="E295" s="913"/>
      <c r="F295" s="930">
        <v>0</v>
      </c>
      <c r="G295" s="1046" t="s">
        <v>897</v>
      </c>
      <c r="H295" s="935"/>
      <c r="I295" s="1046"/>
      <c r="J295" s="936"/>
      <c r="K295" s="930">
        <v>0</v>
      </c>
      <c r="L295" s="1046" t="s">
        <v>912</v>
      </c>
      <c r="M295" s="936"/>
      <c r="N295" s="1046"/>
      <c r="O295" s="1051"/>
    </row>
    <row r="296" spans="2:15" ht="15.5" hidden="1">
      <c r="B296" s="1">
        <v>1</v>
      </c>
      <c r="C296" s="1">
        <v>1</v>
      </c>
      <c r="D296" s="908"/>
      <c r="E296" s="913"/>
      <c r="F296" s="937" t="str">
        <f>IF(F295=$S$14,$T$9,IF(ROUNDDOWN(F295,0)=$S$9,$U$9,$T$9))</f>
        <v>　レベル　1</v>
      </c>
      <c r="G296" s="3144" t="s">
        <v>808</v>
      </c>
      <c r="H296" s="3164"/>
      <c r="I296" s="3164"/>
      <c r="J296" s="3150"/>
      <c r="K296" s="937" t="str">
        <f>IF(K295=$S$14,$T$9,IF(ROUNDDOWN(K295,0)=$S$9,$U$9,$T$9))</f>
        <v>　レベル　1</v>
      </c>
      <c r="L296" s="3144" t="s">
        <v>809</v>
      </c>
      <c r="M296" s="3164"/>
      <c r="N296" s="3164"/>
      <c r="O296" s="3150"/>
    </row>
    <row r="297" spans="2:15" ht="15.5" hidden="1">
      <c r="B297" s="1" t="s">
        <v>1509</v>
      </c>
      <c r="C297" s="1" t="s">
        <v>1509</v>
      </c>
      <c r="D297" s="908"/>
      <c r="E297" s="913"/>
      <c r="F297" s="942" t="str">
        <f>IF(F295=$S$14,$T$10,IF(ROUNDDOWN(F295,0)=$S$10,$U$10,$T$10))</f>
        <v>　レベル　2</v>
      </c>
      <c r="G297" s="3182" t="s">
        <v>2178</v>
      </c>
      <c r="H297" s="3183"/>
      <c r="I297" s="3183"/>
      <c r="J297" s="3184"/>
      <c r="K297" s="942" t="str">
        <f>IF(K295=$S$14,$T$10,IF(ROUNDDOWN(K295,0)=$S$10,$U$10,$T$10))</f>
        <v>　レベル　2</v>
      </c>
      <c r="L297" s="3182" t="s">
        <v>2178</v>
      </c>
      <c r="M297" s="3183"/>
      <c r="N297" s="3183"/>
      <c r="O297" s="3184"/>
    </row>
    <row r="298" spans="2:15" ht="15.5" hidden="1">
      <c r="B298" s="1">
        <v>3</v>
      </c>
      <c r="C298" s="1">
        <v>3</v>
      </c>
      <c r="D298" s="908"/>
      <c r="E298" s="913"/>
      <c r="F298" s="942" t="str">
        <f>IF(F295=$S$14,$T$11,IF(ROUNDDOWN(F295,0)=$S$11,$U$11,$T$11))</f>
        <v>　レベル　3</v>
      </c>
      <c r="G298" s="3208" t="s">
        <v>810</v>
      </c>
      <c r="H298" s="3209"/>
      <c r="I298" s="3209"/>
      <c r="J298" s="3210"/>
      <c r="K298" s="942" t="str">
        <f>IF(K295=$S$14,$T$11,IF(ROUNDDOWN(K295,0)=$S$11,$U$11,$T$11))</f>
        <v>　レベル　3</v>
      </c>
      <c r="L298" s="3208" t="s">
        <v>1510</v>
      </c>
      <c r="M298" s="3209"/>
      <c r="N298" s="3209"/>
      <c r="O298" s="3210"/>
    </row>
    <row r="299" spans="2:15" ht="15.5" hidden="1">
      <c r="B299" s="1" t="s">
        <v>1509</v>
      </c>
      <c r="C299" s="1" t="s">
        <v>1509</v>
      </c>
      <c r="D299" s="908"/>
      <c r="E299" s="913"/>
      <c r="F299" s="942" t="str">
        <f>IF(F295=$S$14,$T$12,IF(ROUNDDOWN(F295,0)=$S$12,$U$12,$T$12))</f>
        <v>　レベル　4</v>
      </c>
      <c r="G299" s="3182" t="s">
        <v>2178</v>
      </c>
      <c r="H299" s="3183"/>
      <c r="I299" s="3183"/>
      <c r="J299" s="3184"/>
      <c r="K299" s="942" t="str">
        <f>IF(K295=$S$14,$T$12,IF(ROUNDDOWN(K295,0)=$S$12,$U$12,$T$12))</f>
        <v>　レベル　4</v>
      </c>
      <c r="L299" s="3182" t="s">
        <v>2178</v>
      </c>
      <c r="M299" s="3183"/>
      <c r="N299" s="3183"/>
      <c r="O299" s="3184"/>
    </row>
    <row r="300" spans="2:15" ht="15.5" hidden="1">
      <c r="B300" s="1">
        <v>5</v>
      </c>
      <c r="C300" s="1">
        <v>5</v>
      </c>
      <c r="D300" s="908"/>
      <c r="E300" s="913"/>
      <c r="F300" s="953" t="str">
        <f>IF(F295=$S$14,$T$13,IF(ROUNDDOWN(F295,0)=$S$13,$U$13,$T$13))</f>
        <v>　レベル　5</v>
      </c>
      <c r="G300" s="3173" t="s">
        <v>811</v>
      </c>
      <c r="H300" s="3193"/>
      <c r="I300" s="3193"/>
      <c r="J300" s="3194"/>
      <c r="K300" s="953" t="str">
        <f>IF(K295=$S$14,$T$13,IF(ROUNDDOWN(K295,0)=$S$13,$U$13,$T$13))</f>
        <v>　レベル　5</v>
      </c>
      <c r="L300" s="3173" t="s">
        <v>1511</v>
      </c>
      <c r="M300" s="3193"/>
      <c r="N300" s="3193"/>
      <c r="O300" s="3194"/>
    </row>
    <row r="301" spans="2:15" ht="15.5" hidden="1">
      <c r="B301" s="960">
        <v>0</v>
      </c>
      <c r="C301" s="960">
        <v>0</v>
      </c>
      <c r="D301" s="908"/>
      <c r="E301" s="1112"/>
      <c r="F301" s="1112"/>
      <c r="G301" s="1113"/>
      <c r="H301" s="1113"/>
      <c r="I301" s="1113"/>
      <c r="J301" s="1113"/>
      <c r="K301" s="1113"/>
      <c r="L301" s="1113"/>
      <c r="M301" s="1113"/>
      <c r="N301" s="1113"/>
      <c r="O301" s="1113"/>
    </row>
    <row r="302" spans="2:15" ht="15.5">
      <c r="D302" s="908"/>
      <c r="E302" s="1112"/>
      <c r="F302" s="919" t="s">
        <v>2905</v>
      </c>
      <c r="G302" s="996"/>
      <c r="H302" s="1045"/>
      <c r="I302" s="1025"/>
      <c r="J302" s="999" t="e">
        <f>IF(OR(F304=0,AND(J303=0,O303=0)),$R$3,"")</f>
        <v>#DIV/0!</v>
      </c>
      <c r="K302" s="1084"/>
      <c r="L302" s="996"/>
      <c r="M302" s="1045"/>
      <c r="N302" s="1025"/>
      <c r="O302" s="999"/>
    </row>
    <row r="303" spans="2:15" ht="16" thickBot="1">
      <c r="D303" s="908"/>
      <c r="E303" s="1112"/>
      <c r="F303" s="923" t="s">
        <v>1323</v>
      </c>
      <c r="G303" s="924"/>
      <c r="H303" s="925"/>
      <c r="I303" s="926" t="s">
        <v>1364</v>
      </c>
      <c r="J303" s="929" t="e">
        <f>重み!M42</f>
        <v>#DIV/0!</v>
      </c>
      <c r="K303" s="923" t="s">
        <v>1968</v>
      </c>
      <c r="L303" s="924"/>
      <c r="M303" s="925"/>
      <c r="N303" s="926" t="s">
        <v>1364</v>
      </c>
      <c r="O303" s="929" t="e">
        <f>重み!N42</f>
        <v>#DIV/0!</v>
      </c>
    </row>
    <row r="304" spans="2:15" ht="27" customHeight="1" thickBot="1">
      <c r="D304" s="908"/>
      <c r="E304" s="1112"/>
      <c r="F304" s="930">
        <v>3</v>
      </c>
      <c r="G304" s="1046" t="s">
        <v>484</v>
      </c>
      <c r="H304" s="935"/>
      <c r="I304" s="1046" t="s">
        <v>485</v>
      </c>
      <c r="J304" s="936"/>
      <c r="K304" s="930">
        <v>3</v>
      </c>
      <c r="L304" s="1046" t="s">
        <v>912</v>
      </c>
      <c r="M304" s="936"/>
      <c r="N304" s="1046"/>
      <c r="O304" s="1051"/>
    </row>
    <row r="305" spans="2:15" ht="20.25" customHeight="1">
      <c r="B305" s="1">
        <v>1</v>
      </c>
      <c r="C305" s="1">
        <v>1</v>
      </c>
      <c r="D305" s="908"/>
      <c r="E305" s="1112"/>
      <c r="F305" s="937" t="str">
        <f>IF(F304=$S$14,$T$9,IF(ROUNDDOWN(F304,0)=$S$9,$U$9,$T$9))</f>
        <v>　レベル　1</v>
      </c>
      <c r="G305" s="3144" t="s">
        <v>1512</v>
      </c>
      <c r="H305" s="3150"/>
      <c r="I305" s="3144" t="s">
        <v>1512</v>
      </c>
      <c r="J305" s="3150"/>
      <c r="K305" s="937" t="str">
        <f>IF(K304=$S$14,$T$9,IF(ROUNDDOWN(K304,0)=$S$9,$U$9,$T$9))</f>
        <v>　レベル　1</v>
      </c>
      <c r="L305" s="3144" t="s">
        <v>486</v>
      </c>
      <c r="M305" s="3164"/>
      <c r="N305" s="3164"/>
      <c r="O305" s="3150"/>
    </row>
    <row r="306" spans="2:15" ht="33.75" customHeight="1">
      <c r="B306" s="1">
        <v>2</v>
      </c>
      <c r="C306" s="1" t="s">
        <v>2844</v>
      </c>
      <c r="D306" s="908"/>
      <c r="E306" s="1112"/>
      <c r="F306" s="942" t="str">
        <f>IF(F304=$S$14,$T$10,IF(ROUNDDOWN(F304,0)=$S$10,$U$10,$T$10))</f>
        <v>　レベル　2</v>
      </c>
      <c r="G306" s="3148" t="s">
        <v>1513</v>
      </c>
      <c r="H306" s="3149"/>
      <c r="I306" s="3148" t="s">
        <v>2178</v>
      </c>
      <c r="J306" s="3149"/>
      <c r="K306" s="942" t="str">
        <f>IF(K304=$S$14,$T$10,IF(ROUNDDOWN(K304,0)=$S$10,$U$10,$T$10))</f>
        <v>　レベル　2</v>
      </c>
      <c r="L306" s="3182" t="s">
        <v>2178</v>
      </c>
      <c r="M306" s="3183"/>
      <c r="N306" s="3183"/>
      <c r="O306" s="3184"/>
    </row>
    <row r="307" spans="2:15" ht="48" customHeight="1">
      <c r="B307" s="1">
        <v>3</v>
      </c>
      <c r="C307" s="1">
        <v>3</v>
      </c>
      <c r="D307" s="908"/>
      <c r="E307" s="1112"/>
      <c r="F307" s="942" t="str">
        <f>IF(F304=$S$14,$T$11,IF(ROUNDDOWN(F304,0)=$S$11,$U$11,$T$11))</f>
        <v>■レベル　3</v>
      </c>
      <c r="G307" s="3148" t="s">
        <v>1514</v>
      </c>
      <c r="H307" s="3149"/>
      <c r="I307" s="3148" t="s">
        <v>1515</v>
      </c>
      <c r="J307" s="3149"/>
      <c r="K307" s="942" t="str">
        <f>IF(K304=$S$14,$T$11,IF(ROUNDDOWN(K304,0)=$S$11,$U$11,$T$11))</f>
        <v>■レベル　3</v>
      </c>
      <c r="L307" s="3182" t="s">
        <v>1515</v>
      </c>
      <c r="M307" s="3183"/>
      <c r="N307" s="3183"/>
      <c r="O307" s="3184"/>
    </row>
    <row r="308" spans="2:15" ht="55.5" customHeight="1">
      <c r="B308" s="1">
        <v>4</v>
      </c>
      <c r="C308" s="1">
        <v>4</v>
      </c>
      <c r="D308" s="908"/>
      <c r="E308" s="1112"/>
      <c r="F308" s="942" t="str">
        <f>IF(F304=$S$14,$T$12,IF(ROUNDDOWN(F304,0)=$S$12,$U$12,$T$12))</f>
        <v>　レベル　4</v>
      </c>
      <c r="G308" s="3148" t="s">
        <v>1516</v>
      </c>
      <c r="H308" s="3149"/>
      <c r="I308" s="3148" t="s">
        <v>1517</v>
      </c>
      <c r="J308" s="3149"/>
      <c r="K308" s="942" t="str">
        <f>IF(K304=$S$14,$T$12,IF(ROUNDDOWN(K304,0)=$S$12,$U$12,$T$12))</f>
        <v>　レベル　4</v>
      </c>
      <c r="L308" s="3182" t="s">
        <v>1517</v>
      </c>
      <c r="M308" s="3183"/>
      <c r="N308" s="3183"/>
      <c r="O308" s="3184"/>
    </row>
    <row r="309" spans="2:15" ht="42.75" customHeight="1">
      <c r="B309" s="1">
        <v>5</v>
      </c>
      <c r="C309" s="1">
        <v>5</v>
      </c>
      <c r="D309" s="908"/>
      <c r="E309" s="1112"/>
      <c r="F309" s="953" t="str">
        <f>IF(F304=$S$14,$T$13,IF(ROUNDDOWN(F304,0)=$S$13,$U$13,$T$13))</f>
        <v>　レベル　5</v>
      </c>
      <c r="G309" s="3146" t="s">
        <v>17</v>
      </c>
      <c r="H309" s="3147"/>
      <c r="I309" s="3146" t="s">
        <v>1518</v>
      </c>
      <c r="J309" s="3147"/>
      <c r="K309" s="953" t="str">
        <f>IF(K304=$S$14,$T$13,IF(ROUNDDOWN(K304,0)=$S$13,$U$13,$T$13))</f>
        <v>　レベル　5</v>
      </c>
      <c r="L309" s="3173" t="s">
        <v>1518</v>
      </c>
      <c r="M309" s="3193"/>
      <c r="N309" s="3193"/>
      <c r="O309" s="3194"/>
    </row>
    <row r="310" spans="2:15" ht="15.5">
      <c r="B310" s="960">
        <v>0</v>
      </c>
      <c r="C310" s="960">
        <v>0</v>
      </c>
      <c r="D310" s="908"/>
      <c r="E310" s="1112"/>
      <c r="F310" s="1112"/>
      <c r="G310" s="1113"/>
      <c r="H310" s="1113"/>
      <c r="I310" s="1113"/>
      <c r="J310" s="1113"/>
      <c r="K310" s="1113"/>
      <c r="L310" s="1113"/>
      <c r="M310" s="1113"/>
      <c r="N310" s="1113"/>
      <c r="O310" s="1113"/>
    </row>
    <row r="311" spans="2:15" ht="15.5">
      <c r="D311" s="908"/>
      <c r="E311" s="1112"/>
      <c r="F311" s="919" t="s">
        <v>2906</v>
      </c>
      <c r="G311" s="996"/>
      <c r="H311" s="1045"/>
      <c r="I311" s="1025"/>
      <c r="J311" s="999" t="e">
        <f>IF(OR(F313=0,J312=0),$R$3,"")</f>
        <v>#DIV/0!</v>
      </c>
      <c r="K311" s="1113"/>
      <c r="L311" s="1113"/>
      <c r="M311" s="1113"/>
      <c r="N311" s="1113"/>
      <c r="O311" s="1113"/>
    </row>
    <row r="312" spans="2:15" ht="15.5" hidden="1">
      <c r="B312" s="1114" t="s">
        <v>778</v>
      </c>
      <c r="D312" s="908"/>
      <c r="E312" s="1112"/>
      <c r="F312" s="923" t="s">
        <v>290</v>
      </c>
      <c r="G312" s="924"/>
      <c r="H312" s="925"/>
      <c r="I312" s="926" t="s">
        <v>1364</v>
      </c>
      <c r="J312" s="929" t="e">
        <f>重み!M43</f>
        <v>#DIV/0!</v>
      </c>
      <c r="K312" s="1113"/>
      <c r="L312" s="1113"/>
      <c r="M312" s="1113"/>
      <c r="N312" s="1113"/>
      <c r="O312" s="1113"/>
    </row>
    <row r="313" spans="2:15" ht="16" hidden="1" thickBot="1">
      <c r="D313" s="908"/>
      <c r="E313" s="1112"/>
      <c r="F313" s="930">
        <v>0</v>
      </c>
      <c r="G313" s="1046" t="s">
        <v>488</v>
      </c>
      <c r="H313" s="935"/>
      <c r="I313" s="935"/>
      <c r="J313" s="936"/>
      <c r="K313" s="1113"/>
      <c r="L313" s="1113"/>
      <c r="M313" s="1113"/>
      <c r="N313" s="1113"/>
      <c r="O313" s="1113"/>
    </row>
    <row r="314" spans="2:15" ht="15.5" hidden="1">
      <c r="B314" s="1">
        <v>1</v>
      </c>
      <c r="C314" s="1">
        <v>1</v>
      </c>
      <c r="D314" s="908"/>
      <c r="E314" s="1112"/>
      <c r="F314" s="937" t="str">
        <f>IF(F313=$S$14,$T$9,IF(ROUNDDOWN(F313,0)=$S$9,$U$9,$T$9))</f>
        <v>　レベル　1</v>
      </c>
      <c r="G314" s="3144" t="s">
        <v>1519</v>
      </c>
      <c r="H314" s="3164"/>
      <c r="I314" s="3164"/>
      <c r="J314" s="3150"/>
      <c r="K314" s="1113"/>
      <c r="L314" s="1113"/>
      <c r="M314" s="1113"/>
      <c r="N314" s="1113"/>
      <c r="O314" s="1113"/>
    </row>
    <row r="315" spans="2:15" ht="15.5" hidden="1">
      <c r="B315" s="1" t="s">
        <v>2844</v>
      </c>
      <c r="C315" s="1">
        <v>2</v>
      </c>
      <c r="D315" s="908"/>
      <c r="E315" s="1112"/>
      <c r="F315" s="942" t="str">
        <f>IF(F313=$S$14,$T$10,IF(ROUNDDOWN(F313,0)=$S$10,$U$10,$T$10))</f>
        <v>　レベル　2</v>
      </c>
      <c r="G315" s="3182" t="s">
        <v>2178</v>
      </c>
      <c r="H315" s="3183"/>
      <c r="I315" s="3183"/>
      <c r="J315" s="3184"/>
      <c r="K315" s="1113"/>
      <c r="L315" s="1113"/>
      <c r="M315" s="1113"/>
      <c r="N315" s="1113"/>
      <c r="O315" s="1113"/>
    </row>
    <row r="316" spans="2:15" ht="15.5" hidden="1">
      <c r="B316" s="1">
        <v>3</v>
      </c>
      <c r="C316" s="1">
        <v>3</v>
      </c>
      <c r="D316" s="908"/>
      <c r="E316" s="1112"/>
      <c r="F316" s="942" t="str">
        <f>IF(F313=$S$14,$T$11,IF(ROUNDDOWN(F313,0)=$S$11,$U$11,$T$11))</f>
        <v>　レベル　3</v>
      </c>
      <c r="G316" s="3182" t="s">
        <v>1520</v>
      </c>
      <c r="H316" s="3183"/>
      <c r="I316" s="3183"/>
      <c r="J316" s="3184"/>
      <c r="K316" s="1113"/>
      <c r="L316" s="1113"/>
      <c r="M316" s="1113"/>
      <c r="N316" s="1113"/>
      <c r="O316" s="1113"/>
    </row>
    <row r="317" spans="2:15" ht="15.5" hidden="1">
      <c r="B317" s="1" t="s">
        <v>2844</v>
      </c>
      <c r="C317" s="1">
        <v>4</v>
      </c>
      <c r="D317" s="908"/>
      <c r="E317" s="1112"/>
      <c r="F317" s="942" t="str">
        <f>IF(F313=$S$14,$T$12,IF(ROUNDDOWN(F313,0)=$S$12,$U$12,$T$12))</f>
        <v>　レベル　4</v>
      </c>
      <c r="G317" s="3182" t="s">
        <v>2178</v>
      </c>
      <c r="H317" s="3183"/>
      <c r="I317" s="3183"/>
      <c r="J317" s="3184"/>
      <c r="K317" s="1113"/>
      <c r="L317" s="1113"/>
      <c r="M317" s="1113"/>
      <c r="N317" s="1113"/>
      <c r="O317" s="1113"/>
    </row>
    <row r="318" spans="2:15" ht="15.5" hidden="1">
      <c r="B318" s="1">
        <v>5</v>
      </c>
      <c r="C318" s="1">
        <v>5</v>
      </c>
      <c r="D318" s="908"/>
      <c r="E318" s="1112"/>
      <c r="F318" s="953" t="str">
        <f>IF(F313=$S$14,$T$13,IF(ROUNDDOWN(F313,0)=$S$13,$U$13,$T$13))</f>
        <v>　レベル　5</v>
      </c>
      <c r="G318" s="3173" t="s">
        <v>1521</v>
      </c>
      <c r="H318" s="3193"/>
      <c r="I318" s="3193"/>
      <c r="J318" s="3194"/>
      <c r="K318" s="1113"/>
      <c r="L318" s="1113"/>
      <c r="M318" s="1113"/>
      <c r="N318" s="1113"/>
      <c r="O318" s="1113"/>
    </row>
    <row r="319" spans="2:15" ht="15.5" hidden="1">
      <c r="B319" s="960">
        <v>0</v>
      </c>
      <c r="C319" s="960">
        <v>0</v>
      </c>
      <c r="D319" s="908"/>
      <c r="E319" s="1112"/>
      <c r="F319" s="1112"/>
      <c r="G319" s="1115" t="s">
        <v>489</v>
      </c>
      <c r="H319" s="1116"/>
      <c r="I319" s="1116"/>
      <c r="J319" s="1116"/>
      <c r="K319" s="1116"/>
      <c r="L319" s="1116"/>
      <c r="M319" s="1113"/>
      <c r="N319" s="1113"/>
      <c r="O319" s="1113"/>
    </row>
    <row r="320" spans="2:15" ht="15.5" hidden="1">
      <c r="D320" s="908"/>
      <c r="E320" s="1112"/>
      <c r="F320" s="1112"/>
      <c r="G320" s="1117" t="s">
        <v>490</v>
      </c>
      <c r="H320" s="1117" t="s">
        <v>1522</v>
      </c>
      <c r="I320" s="1118"/>
      <c r="J320" s="1118"/>
      <c r="K320" s="1118"/>
      <c r="L320" s="1119"/>
      <c r="M320" s="1113"/>
      <c r="N320" s="1113"/>
      <c r="O320" s="1113"/>
    </row>
    <row r="321" spans="2:15" ht="15.5" hidden="1">
      <c r="D321" s="908"/>
      <c r="E321" s="1112"/>
      <c r="F321" s="1112"/>
      <c r="G321" s="1117" t="s">
        <v>491</v>
      </c>
      <c r="H321" s="1117" t="s">
        <v>492</v>
      </c>
      <c r="I321" s="1118"/>
      <c r="J321" s="1118"/>
      <c r="K321" s="1118"/>
      <c r="L321" s="1119"/>
      <c r="M321" s="1113"/>
      <c r="N321" s="1113"/>
      <c r="O321" s="1113"/>
    </row>
    <row r="322" spans="2:15" ht="15.5" hidden="1">
      <c r="D322" s="908"/>
      <c r="E322" s="1112"/>
      <c r="F322" s="1112"/>
      <c r="G322" s="1117" t="s">
        <v>493</v>
      </c>
      <c r="H322" s="1117" t="s">
        <v>494</v>
      </c>
      <c r="I322" s="1118"/>
      <c r="J322" s="1118"/>
      <c r="K322" s="1118"/>
      <c r="L322" s="1119"/>
      <c r="M322" s="1113"/>
      <c r="N322" s="1113"/>
      <c r="O322" s="1113"/>
    </row>
    <row r="323" spans="2:15" ht="15.5" hidden="1">
      <c r="D323" s="908"/>
      <c r="E323" s="1112"/>
      <c r="F323" s="1112"/>
      <c r="G323" s="1117" t="s">
        <v>495</v>
      </c>
      <c r="H323" s="1117" t="s">
        <v>496</v>
      </c>
      <c r="I323" s="1117"/>
      <c r="J323" s="1118"/>
      <c r="K323" s="1118"/>
      <c r="L323" s="1119"/>
      <c r="M323" s="1113"/>
      <c r="N323" s="1113"/>
      <c r="O323" s="1113"/>
    </row>
    <row r="324" spans="2:15" ht="14">
      <c r="D324" s="2279"/>
      <c r="E324" s="1120"/>
      <c r="F324" s="916"/>
      <c r="G324" s="1043"/>
      <c r="H324" s="1044"/>
      <c r="I324" s="1044"/>
      <c r="J324" s="1044"/>
      <c r="K324" s="1044"/>
      <c r="L324" s="1043"/>
      <c r="M324" s="1044"/>
      <c r="N324" s="1044"/>
      <c r="O324" s="1113"/>
    </row>
    <row r="325" spans="2:15" ht="15.5">
      <c r="D325" s="1326">
        <v>3.3</v>
      </c>
      <c r="E325" s="1042" t="s">
        <v>991</v>
      </c>
      <c r="F325" s="1064"/>
      <c r="G325" s="996"/>
      <c r="H325" s="996"/>
      <c r="I325" s="1045"/>
      <c r="J325" s="999" t="e">
        <f>IF(OR(F327=0,AND(J326=0,O326=0)),$R$3,"")</f>
        <v>#DIV/0!</v>
      </c>
      <c r="K325" s="1025"/>
      <c r="L325" s="1025"/>
      <c r="M325" s="995"/>
      <c r="N325" s="1025"/>
      <c r="O325" s="1025"/>
    </row>
    <row r="326" spans="2:15" ht="16" thickBot="1">
      <c r="D326" s="908"/>
      <c r="E326" s="913"/>
      <c r="F326" s="2253" t="s">
        <v>1523</v>
      </c>
      <c r="G326" s="1066"/>
      <c r="H326" s="1067"/>
      <c r="I326" s="926" t="s">
        <v>1364</v>
      </c>
      <c r="J326" s="924" t="e">
        <f>重み!M44</f>
        <v>#DIV/0!</v>
      </c>
      <c r="K326" s="1066"/>
      <c r="L326" s="1068"/>
      <c r="M326" s="2254" t="s">
        <v>1968</v>
      </c>
      <c r="N326" s="926" t="s">
        <v>1364</v>
      </c>
      <c r="O326" s="928" t="e">
        <f>重み!N44</f>
        <v>#DIV/0!</v>
      </c>
    </row>
    <row r="327" spans="2:15" ht="27" customHeight="1" thickBot="1">
      <c r="D327" s="908"/>
      <c r="E327" s="913"/>
      <c r="F327" s="930">
        <v>3</v>
      </c>
      <c r="G327" s="1046" t="s">
        <v>3064</v>
      </c>
      <c r="H327" s="936"/>
      <c r="I327" s="1051" t="s">
        <v>1524</v>
      </c>
      <c r="J327" s="1070" t="s">
        <v>1525</v>
      </c>
      <c r="K327" s="1070" t="s">
        <v>1526</v>
      </c>
      <c r="L327" s="1071" t="s">
        <v>1905</v>
      </c>
      <c r="M327" s="930">
        <v>3</v>
      </c>
      <c r="N327" s="1046" t="s">
        <v>1527</v>
      </c>
      <c r="O327" s="1072" t="s">
        <v>497</v>
      </c>
    </row>
    <row r="328" spans="2:15" ht="22.5" customHeight="1">
      <c r="B328" s="1">
        <v>1</v>
      </c>
      <c r="C328" s="1">
        <v>1</v>
      </c>
      <c r="D328" s="908"/>
      <c r="E328" s="913"/>
      <c r="F328" s="937" t="str">
        <f>IF(F327=$S$14,$T$9,IF(ROUNDDOWN(F327,0)=$S$9,$U$9,$T$9))</f>
        <v>　レベル　1</v>
      </c>
      <c r="G328" s="3144" t="s">
        <v>1833</v>
      </c>
      <c r="H328" s="3150"/>
      <c r="I328" s="1121" t="s">
        <v>1083</v>
      </c>
      <c r="J328" s="1003" t="s">
        <v>1084</v>
      </c>
      <c r="K328" s="1121" t="s">
        <v>1085</v>
      </c>
      <c r="L328" s="1121" t="s">
        <v>1085</v>
      </c>
      <c r="M328" s="937" t="str">
        <f>IF(M327=$S$14,$T$9,IF(ROUNDDOWN(M327,0)=$S$9,$U$9,$T$9))</f>
        <v>　レベル　1</v>
      </c>
      <c r="N328" s="938" t="s">
        <v>1086</v>
      </c>
      <c r="O328" s="1122" t="s">
        <v>1085</v>
      </c>
    </row>
    <row r="329" spans="2:15" ht="32.25" customHeight="1">
      <c r="B329" s="1">
        <v>2</v>
      </c>
      <c r="C329" s="1" t="s">
        <v>2842</v>
      </c>
      <c r="D329" s="908"/>
      <c r="E329" s="913"/>
      <c r="F329" s="942" t="str">
        <f>IF(F327=$S$14,$T$10,IF(ROUNDDOWN(F327,0)=$S$10,$U$10,$T$10))</f>
        <v>　レベル　2</v>
      </c>
      <c r="G329" s="3148" t="s">
        <v>16</v>
      </c>
      <c r="H329" s="3192"/>
      <c r="I329" s="1123" t="s">
        <v>2178</v>
      </c>
      <c r="J329" s="1123" t="s">
        <v>2178</v>
      </c>
      <c r="K329" s="1123" t="s">
        <v>2178</v>
      </c>
      <c r="L329" s="1123" t="s">
        <v>2178</v>
      </c>
      <c r="M329" s="942" t="str">
        <f>IF(M327=$S$14,$T$10,IF(ROUNDDOWN(M327,0)=$S$10,$U$10,$T$10))</f>
        <v>　レベル　2</v>
      </c>
      <c r="N329" s="1123" t="s">
        <v>2178</v>
      </c>
      <c r="O329" s="1123" t="s">
        <v>2178</v>
      </c>
    </row>
    <row r="330" spans="2:15" ht="91.5" customHeight="1">
      <c r="B330" s="1">
        <v>3</v>
      </c>
      <c r="C330" s="1">
        <v>3</v>
      </c>
      <c r="D330" s="908"/>
      <c r="E330" s="913"/>
      <c r="F330" s="942" t="str">
        <f>IF(F327=$S$14,$T$11,IF(ROUNDDOWN(F327,0)=$S$11,$U$11,$T$11))</f>
        <v>■レベル　3</v>
      </c>
      <c r="G330" s="3148" t="s">
        <v>370</v>
      </c>
      <c r="H330" s="3192"/>
      <c r="I330" s="1124" t="s">
        <v>1087</v>
      </c>
      <c r="J330" s="945" t="s">
        <v>1088</v>
      </c>
      <c r="K330" s="1124" t="s">
        <v>1089</v>
      </c>
      <c r="L330" s="1124" t="s">
        <v>1089</v>
      </c>
      <c r="M330" s="942" t="str">
        <f>IF(M327=$S$14,$T$11,IF(ROUNDDOWN(M327,0)=$S$11,$U$11,$T$11))</f>
        <v>■レベル　3</v>
      </c>
      <c r="N330" s="945" t="s">
        <v>1088</v>
      </c>
      <c r="O330" s="949" t="s">
        <v>1089</v>
      </c>
    </row>
    <row r="331" spans="2:15" ht="99.75" customHeight="1">
      <c r="B331" s="1">
        <v>4</v>
      </c>
      <c r="C331" s="1">
        <v>4</v>
      </c>
      <c r="D331" s="908"/>
      <c r="E331" s="913"/>
      <c r="F331" s="942" t="str">
        <f>IF(F327=$S$14,$T$12,IF(ROUNDDOWN(F327,0)=$S$12,$U$12,$T$12))</f>
        <v>　レベル　4</v>
      </c>
      <c r="G331" s="3148" t="s">
        <v>369</v>
      </c>
      <c r="H331" s="3192"/>
      <c r="I331" s="1125" t="s">
        <v>1090</v>
      </c>
      <c r="J331" s="950" t="s">
        <v>498</v>
      </c>
      <c r="K331" s="1123" t="s">
        <v>2178</v>
      </c>
      <c r="L331" s="1125" t="s">
        <v>499</v>
      </c>
      <c r="M331" s="942" t="str">
        <f>IF(M327=$S$14,$T$12,IF(ROUNDDOWN(M327,0)=$S$12,$U$12,$T$12))</f>
        <v>　レベル　4</v>
      </c>
      <c r="N331" s="945" t="s">
        <v>499</v>
      </c>
      <c r="O331" s="1123" t="s">
        <v>2178</v>
      </c>
    </row>
    <row r="332" spans="2:15" ht="115.5" customHeight="1">
      <c r="B332" s="1">
        <v>5</v>
      </c>
      <c r="C332" s="1">
        <v>5</v>
      </c>
      <c r="D332" s="908"/>
      <c r="E332" s="913"/>
      <c r="F332" s="953" t="str">
        <f>IF(F327=$S$14,$T$13,IF(ROUNDDOWN(F327,0)=$S$13,$U$13,$T$13))</f>
        <v>　レベル　5</v>
      </c>
      <c r="G332" s="3146" t="s">
        <v>3392</v>
      </c>
      <c r="H332" s="3176"/>
      <c r="I332" s="1126" t="s">
        <v>2178</v>
      </c>
      <c r="J332" s="1126" t="s">
        <v>2178</v>
      </c>
      <c r="K332" s="1126" t="s">
        <v>2178</v>
      </c>
      <c r="L332" s="1126" t="s">
        <v>2178</v>
      </c>
      <c r="M332" s="953" t="str">
        <f>IF(M327=$S$14,$T$13,IF(ROUNDDOWN(M327,0)=$S$13,$U$13,$T$13))</f>
        <v>　レベル　5</v>
      </c>
      <c r="N332" s="1126" t="s">
        <v>2178</v>
      </c>
      <c r="O332" s="1090" t="s">
        <v>2863</v>
      </c>
    </row>
    <row r="333" spans="2:15" ht="15.5" hidden="1">
      <c r="B333" s="960">
        <v>0</v>
      </c>
      <c r="C333" s="960">
        <v>0</v>
      </c>
      <c r="D333" s="908"/>
      <c r="E333" s="1112"/>
      <c r="F333" s="1112"/>
      <c r="G333" s="1113"/>
      <c r="H333" s="1113"/>
      <c r="I333" s="1113"/>
      <c r="J333" s="1113"/>
      <c r="K333" s="1127"/>
      <c r="L333" s="1127"/>
      <c r="M333" s="1127"/>
      <c r="N333" s="1127"/>
      <c r="O333" s="1127"/>
    </row>
    <row r="334" spans="2:15" ht="15.5" hidden="1">
      <c r="D334" s="908"/>
      <c r="E334" s="1112"/>
      <c r="F334" s="1064" t="s">
        <v>2864</v>
      </c>
      <c r="G334" s="1128"/>
      <c r="H334" s="1129"/>
      <c r="I334" s="1130" t="s">
        <v>1364</v>
      </c>
      <c r="J334" s="928" t="e">
        <f>重み!M46</f>
        <v>#DIV/0!</v>
      </c>
      <c r="K334" s="1025"/>
      <c r="L334" s="1128"/>
      <c r="M334" s="1129"/>
      <c r="N334" s="1130" t="s">
        <v>1364</v>
      </c>
      <c r="O334" s="928" t="e">
        <f>重み!N46</f>
        <v>#DIV/0!</v>
      </c>
    </row>
    <row r="335" spans="2:15" ht="15.5" hidden="1">
      <c r="D335" s="908"/>
      <c r="E335" s="1112"/>
      <c r="F335" s="3211">
        <v>3</v>
      </c>
      <c r="G335" s="1131" t="s">
        <v>2019</v>
      </c>
      <c r="H335" s="925"/>
      <c r="I335" s="925"/>
      <c r="J335" s="1131"/>
      <c r="K335" s="3211">
        <v>3</v>
      </c>
      <c r="L335" s="1132" t="s">
        <v>1968</v>
      </c>
      <c r="M335" s="1052"/>
      <c r="N335" s="935"/>
      <c r="O335" s="936"/>
    </row>
    <row r="336" spans="2:15" ht="16" hidden="1" thickBot="1">
      <c r="D336" s="908"/>
      <c r="E336" s="1112"/>
      <c r="F336" s="3212"/>
      <c r="G336" s="1046" t="s">
        <v>2865</v>
      </c>
      <c r="H336" s="936"/>
      <c r="I336" s="1046"/>
      <c r="J336" s="1051"/>
      <c r="K336" s="3212"/>
      <c r="L336" s="1046" t="s">
        <v>1091</v>
      </c>
      <c r="M336" s="936"/>
      <c r="N336" s="1046"/>
      <c r="O336" s="1051"/>
    </row>
    <row r="337" spans="2:15" ht="15.75" hidden="1" customHeight="1">
      <c r="D337" s="908"/>
      <c r="E337" s="1112"/>
      <c r="F337" s="1133" t="str">
        <f>IF(F335=$S$14,$T$9,IF(ROUNDDOWN(F335,0)=$S$9,$U$9,$T$9))</f>
        <v>　レベル　1</v>
      </c>
      <c r="G337" s="3144" t="s">
        <v>1896</v>
      </c>
      <c r="H337" s="3164"/>
      <c r="I337" s="3164"/>
      <c r="J337" s="3150"/>
      <c r="K337" s="937" t="str">
        <f>IF(K335=$S$14,$T$9,IF(ROUNDDOWN(K335,0)=$S$9,$U$9,$T$9))</f>
        <v>　レベル　1</v>
      </c>
      <c r="L337" s="3144" t="s">
        <v>1896</v>
      </c>
      <c r="M337" s="3164"/>
      <c r="N337" s="3164"/>
      <c r="O337" s="3150"/>
    </row>
    <row r="338" spans="2:15" ht="15.75" hidden="1" customHeight="1">
      <c r="D338" s="908"/>
      <c r="E338" s="1112"/>
      <c r="F338" s="1134" t="str">
        <f>IF(F335=$S$14,$T$10,IF(ROUNDDOWN(F335,0)=$S$10,$U$10,$T$10))</f>
        <v>　レベル　2</v>
      </c>
      <c r="G338" s="3182" t="s">
        <v>2428</v>
      </c>
      <c r="H338" s="3183"/>
      <c r="I338" s="3183"/>
      <c r="J338" s="3184"/>
      <c r="K338" s="942" t="str">
        <f>IF(K335=$S$14,$T$10,IF(ROUNDDOWN(K335,0)=$S$10,$U$10,$T$10))</f>
        <v>　レベル　2</v>
      </c>
      <c r="L338" s="3182" t="s">
        <v>2428</v>
      </c>
      <c r="M338" s="3183"/>
      <c r="N338" s="3183"/>
      <c r="O338" s="3184"/>
    </row>
    <row r="339" spans="2:15" ht="15.75" hidden="1" customHeight="1">
      <c r="D339" s="908"/>
      <c r="E339" s="1112"/>
      <c r="F339" s="1134" t="str">
        <f>IF(F335=$S$14,$T$11,IF(ROUNDDOWN(F335,0)=$S$11,$U$11,$T$11))</f>
        <v>■レベル　3</v>
      </c>
      <c r="G339" s="3182" t="s">
        <v>2866</v>
      </c>
      <c r="H339" s="3183"/>
      <c r="I339" s="3183"/>
      <c r="J339" s="3184"/>
      <c r="K339" s="942" t="str">
        <f>IF(K335=$S$14,$T$11,IF(ROUNDDOWN(K335,0)=$S$11,$U$11,$T$11))</f>
        <v>■レベル　3</v>
      </c>
      <c r="L339" s="3182" t="s">
        <v>2866</v>
      </c>
      <c r="M339" s="3183"/>
      <c r="N339" s="3183"/>
      <c r="O339" s="3184"/>
    </row>
    <row r="340" spans="2:15" ht="15.5" hidden="1">
      <c r="D340" s="908"/>
      <c r="E340" s="1112"/>
      <c r="F340" s="1134" t="str">
        <f>IF(F335=$S$14,$T$12,IF(ROUNDDOWN(F335,0)=$S$12,$U$12,$T$12))</f>
        <v>　レベル　4</v>
      </c>
      <c r="G340" s="3182" t="s">
        <v>2429</v>
      </c>
      <c r="H340" s="3183"/>
      <c r="I340" s="3183"/>
      <c r="J340" s="3184"/>
      <c r="K340" s="942" t="str">
        <f>IF(K335=$S$14,$T$12,IF(ROUNDDOWN(K335,0)=$S$12,$U$12,$T$12))</f>
        <v>　レベル　4</v>
      </c>
      <c r="L340" s="3182" t="s">
        <v>2429</v>
      </c>
      <c r="M340" s="3183"/>
      <c r="N340" s="3183"/>
      <c r="O340" s="3184"/>
    </row>
    <row r="341" spans="2:15" ht="15.75" hidden="1" customHeight="1">
      <c r="D341" s="908"/>
      <c r="E341" s="1112"/>
      <c r="F341" s="1135" t="str">
        <f>IF(F335=$S$14,$T$13,IF(ROUNDDOWN(F335,0)=$S$13,$U$13,$T$13))</f>
        <v>　レベル　5</v>
      </c>
      <c r="G341" s="3173" t="s">
        <v>2867</v>
      </c>
      <c r="H341" s="3193"/>
      <c r="I341" s="3193"/>
      <c r="J341" s="3194"/>
      <c r="K341" s="953" t="str">
        <f>IF(K335=$S$14,$T$13,IF(ROUNDDOWN(K335,0)=$S$13,$U$13,$T$13))</f>
        <v>　レベル　5</v>
      </c>
      <c r="L341" s="3173" t="s">
        <v>2867</v>
      </c>
      <c r="M341" s="3193"/>
      <c r="N341" s="3193"/>
      <c r="O341" s="3194"/>
    </row>
    <row r="342" spans="2:15" ht="15.5">
      <c r="D342" s="908"/>
      <c r="E342" s="1112"/>
      <c r="F342" s="1112"/>
      <c r="G342" s="1113"/>
      <c r="H342" s="1113"/>
      <c r="I342" s="1113"/>
      <c r="J342" s="1113"/>
      <c r="K342" s="1127"/>
      <c r="L342" s="1113"/>
      <c r="M342" s="1113"/>
      <c r="N342" s="1113"/>
      <c r="O342" s="1113"/>
    </row>
    <row r="343" spans="2:15" ht="15.5">
      <c r="D343" s="1326">
        <v>3.4</v>
      </c>
      <c r="E343" s="915" t="s">
        <v>993</v>
      </c>
      <c r="F343" s="919"/>
      <c r="G343" s="996"/>
      <c r="H343" s="1045"/>
      <c r="I343" s="1025"/>
      <c r="J343" s="999" t="e">
        <f>IF(OR(F345=0,AND(J344=0,O344=0)),$R$3,"")</f>
        <v>#DIV/0!</v>
      </c>
      <c r="K343" s="1084"/>
      <c r="L343" s="996"/>
      <c r="M343" s="1045"/>
      <c r="N343" s="1025"/>
      <c r="O343" s="999"/>
    </row>
    <row r="344" spans="2:15" ht="16" thickBot="1">
      <c r="D344" s="908"/>
      <c r="E344" s="904"/>
      <c r="F344" s="923" t="s">
        <v>1323</v>
      </c>
      <c r="G344" s="924"/>
      <c r="H344" s="925"/>
      <c r="I344" s="926" t="s">
        <v>1364</v>
      </c>
      <c r="J344" s="929" t="e">
        <f>重み!M47</f>
        <v>#DIV/0!</v>
      </c>
      <c r="K344" s="923" t="s">
        <v>1968</v>
      </c>
      <c r="L344" s="924"/>
      <c r="M344" s="925"/>
      <c r="N344" s="926" t="s">
        <v>1364</v>
      </c>
      <c r="O344" s="929" t="e">
        <f>重み!N47</f>
        <v>#DIV/0!</v>
      </c>
    </row>
    <row r="345" spans="2:15" ht="22.5" thickBot="1">
      <c r="D345" s="908"/>
      <c r="E345" s="904"/>
      <c r="F345" s="930">
        <v>3</v>
      </c>
      <c r="G345" s="2441" t="s">
        <v>3065</v>
      </c>
      <c r="H345" s="2442"/>
      <c r="I345" s="2448" t="s">
        <v>1365</v>
      </c>
      <c r="J345" s="2450" t="s">
        <v>1325</v>
      </c>
      <c r="K345" s="930">
        <v>3</v>
      </c>
      <c r="L345" s="1046" t="s">
        <v>2430</v>
      </c>
      <c r="M345" s="936"/>
      <c r="N345" s="1046" t="s">
        <v>497</v>
      </c>
      <c r="O345" s="1051"/>
    </row>
    <row r="346" spans="2:15" ht="15.75" hidden="1" customHeight="1">
      <c r="B346" s="1">
        <v>1</v>
      </c>
      <c r="C346" s="1">
        <v>1</v>
      </c>
      <c r="D346" s="908"/>
      <c r="E346" s="904"/>
      <c r="F346" s="1085"/>
      <c r="G346" s="1046" t="s">
        <v>1266</v>
      </c>
      <c r="H346" s="935"/>
      <c r="I346" s="2439"/>
      <c r="J346" s="2445" t="s">
        <v>3067</v>
      </c>
      <c r="K346" s="1085"/>
      <c r="L346" s="935" t="s">
        <v>1266</v>
      </c>
      <c r="M346" s="1052"/>
      <c r="N346" s="1052"/>
      <c r="O346" s="1053"/>
    </row>
    <row r="347" spans="2:15" ht="36.75" hidden="1" customHeight="1">
      <c r="B347" s="1" t="s">
        <v>2842</v>
      </c>
      <c r="C347" s="1" t="s">
        <v>2842</v>
      </c>
      <c r="D347" s="908"/>
      <c r="E347" s="904"/>
      <c r="F347" s="942" t="str">
        <f>IF(F345=$S$14,$T$9,IF(AND($O$3=$U$3,ROUNDDOWN(F345,0)=$S$9),$U$9,$T$9))</f>
        <v>　レベル　1</v>
      </c>
      <c r="G347" s="3144" t="s">
        <v>2431</v>
      </c>
      <c r="H347" s="3164"/>
      <c r="I347" s="1003" t="s">
        <v>2868</v>
      </c>
      <c r="J347" s="2446"/>
      <c r="K347" s="942" t="str">
        <f>IF(K345=$S$14,$T$9,IF(AND($O$3=$U$3,ROUNDDOWN(K345,0)=$S$9),$U$9,$T$9))</f>
        <v>　レベル　1</v>
      </c>
      <c r="L347" s="3144" t="s">
        <v>2869</v>
      </c>
      <c r="M347" s="3150"/>
      <c r="N347" s="3144" t="s">
        <v>2869</v>
      </c>
      <c r="O347" s="3162"/>
    </row>
    <row r="348" spans="2:15" ht="15.75" hidden="1" customHeight="1">
      <c r="B348" s="1">
        <v>3</v>
      </c>
      <c r="C348" s="1">
        <v>3</v>
      </c>
      <c r="D348" s="908"/>
      <c r="E348" s="904"/>
      <c r="F348" s="942" t="str">
        <f>IF(F345=$S$14,$T$10,IF(AND($O$3=$U$3,ROUNDDOWN(F345,0)=$S$10),$U$10,$T$10))</f>
        <v>　レベル　2</v>
      </c>
      <c r="G348" s="3148" t="s">
        <v>2178</v>
      </c>
      <c r="H348" s="3165"/>
      <c r="I348" s="2438" t="s">
        <v>2178</v>
      </c>
      <c r="J348" s="2446"/>
      <c r="K348" s="942" t="str">
        <f>IF(K345=$S$14,$T$10,IF(AND($O$3=$U$3,ROUNDDOWN(K345,0)=$S$10),$U$10,$T$10))</f>
        <v>　レベル　2</v>
      </c>
      <c r="L348" s="3148" t="s">
        <v>2178</v>
      </c>
      <c r="M348" s="3149"/>
      <c r="N348" s="3148" t="s">
        <v>2178</v>
      </c>
      <c r="O348" s="3149"/>
    </row>
    <row r="349" spans="2:15" ht="42" hidden="1" customHeight="1">
      <c r="B349" s="1" t="s">
        <v>2842</v>
      </c>
      <c r="C349" s="1" t="s">
        <v>2842</v>
      </c>
      <c r="D349" s="908"/>
      <c r="E349" s="904"/>
      <c r="F349" s="942" t="str">
        <f>IF(F345=$S$14,$T$11,IF(AND($O$3=$U$3,ROUNDDOWN(F345,0)=$S$11),$U$11,$T$11))</f>
        <v>　レベル　3</v>
      </c>
      <c r="G349" s="3148" t="s">
        <v>2432</v>
      </c>
      <c r="H349" s="3165"/>
      <c r="I349" s="2438" t="s">
        <v>2433</v>
      </c>
      <c r="J349" s="2446"/>
      <c r="K349" s="942" t="str">
        <f>IF(K345=$S$14,$T$11,IF(AND($O$3=$U$3,ROUNDDOWN(K345,0)=$S$11),$U$11,$T$11))</f>
        <v>　レベル　3</v>
      </c>
      <c r="L349" s="3148" t="s">
        <v>2870</v>
      </c>
      <c r="M349" s="3149"/>
      <c r="N349" s="3148" t="s">
        <v>2871</v>
      </c>
      <c r="O349" s="3149"/>
    </row>
    <row r="350" spans="2:15" ht="15.75" hidden="1" customHeight="1">
      <c r="B350" s="1">
        <v>5</v>
      </c>
      <c r="C350" s="1">
        <v>5</v>
      </c>
      <c r="D350" s="908"/>
      <c r="E350" s="904"/>
      <c r="F350" s="942" t="str">
        <f>IF(F345=$S$14,$T$12,IF(AND($O$3=$U$3,ROUNDDOWN(F345,0)=$S$12),$U$12,$T$12))</f>
        <v>　レベル　4</v>
      </c>
      <c r="G350" s="3148" t="s">
        <v>2178</v>
      </c>
      <c r="H350" s="3165"/>
      <c r="I350" s="2438" t="s">
        <v>2178</v>
      </c>
      <c r="J350" s="2447"/>
      <c r="K350" s="942" t="str">
        <f>IF(K345=$S$14,$T$12,IF(AND($O$3=$U$3,ROUNDDOWN(K345,0)=$S$12),$U$12,$T$12))</f>
        <v>　レベル　4</v>
      </c>
      <c r="L350" s="3148" t="s">
        <v>2178</v>
      </c>
      <c r="M350" s="3149"/>
      <c r="N350" s="3148" t="s">
        <v>2178</v>
      </c>
      <c r="O350" s="3149"/>
    </row>
    <row r="351" spans="2:15" ht="45" hidden="1" customHeight="1">
      <c r="B351" s="960">
        <v>0</v>
      </c>
      <c r="C351" s="960">
        <v>0</v>
      </c>
      <c r="D351" s="908"/>
      <c r="E351" s="904"/>
      <c r="F351" s="953" t="str">
        <f>IF(F345=$S$14,$T$13,IF(AND($O$3=$U$3,ROUNDDOWN(F345,0)=$S$13),$U$13,$T$13))</f>
        <v>　レベル　5</v>
      </c>
      <c r="G351" s="3146" t="s">
        <v>2434</v>
      </c>
      <c r="H351" s="3170"/>
      <c r="I351" s="2436" t="s">
        <v>2115</v>
      </c>
      <c r="J351" s="2437"/>
      <c r="K351" s="953" t="str">
        <f>IF(K345=$S$14,$T$13,IF(AND($O$3=$U$3,ROUNDDOWN(K345,0)=$S$13),$U$13,$T$13))</f>
        <v>　レベル　5</v>
      </c>
      <c r="L351" s="3146" t="s">
        <v>2872</v>
      </c>
      <c r="M351" s="3147"/>
      <c r="N351" s="3146" t="s">
        <v>2873</v>
      </c>
      <c r="O351" s="3147"/>
    </row>
    <row r="352" spans="2:15" ht="15.75" hidden="1" customHeight="1">
      <c r="D352" s="908"/>
      <c r="E352" s="904"/>
      <c r="F352" s="1048"/>
      <c r="G352" s="1046" t="s">
        <v>1265</v>
      </c>
      <c r="H352" s="936"/>
      <c r="I352" s="2449"/>
      <c r="J352" s="2451"/>
      <c r="K352" s="1048"/>
      <c r="L352" s="1067" t="s">
        <v>1265</v>
      </c>
      <c r="M352" s="1067"/>
      <c r="N352" s="1046"/>
      <c r="O352" s="936"/>
    </row>
    <row r="353" spans="2:15" ht="49.5" customHeight="1">
      <c r="D353" s="908"/>
      <c r="E353" s="904"/>
      <c r="F353" s="1049" t="str">
        <f>IF(F345=$S$14,$T$9,IF(AND($O$3&lt;&gt;$U$3,ROUNDDOWN(F345,0)=$S$9),$U$9,$T$9))</f>
        <v>　レベル　1</v>
      </c>
      <c r="G353" s="3144" t="s">
        <v>2435</v>
      </c>
      <c r="H353" s="3162"/>
      <c r="I353" s="1003" t="s">
        <v>2436</v>
      </c>
      <c r="J353" s="3213" t="s">
        <v>3068</v>
      </c>
      <c r="K353" s="1049" t="str">
        <f>IF(K345=$S$14,$T$9,IF(AND($O$3&lt;&gt;$U$3,ROUNDDOWN(K345,0)=$S$9),$U$9,$T$9))</f>
        <v>　レベル　1</v>
      </c>
      <c r="L353" s="3144" t="s">
        <v>2869</v>
      </c>
      <c r="M353" s="3150"/>
      <c r="N353" s="3144" t="s">
        <v>2437</v>
      </c>
      <c r="O353" s="3162"/>
    </row>
    <row r="354" spans="2:15" ht="23.25" customHeight="1">
      <c r="D354" s="908"/>
      <c r="E354" s="904"/>
      <c r="F354" s="942" t="str">
        <f>IF(F345=$S$14,$T$10,IF(AND($O$3&lt;&gt;$U$3,ROUNDDOWN(F345,0)=$S$10),$U$10,$T$10))</f>
        <v>　レベル　2</v>
      </c>
      <c r="G354" s="3148" t="s">
        <v>2178</v>
      </c>
      <c r="H354" s="3149"/>
      <c r="I354" s="2452" t="s">
        <v>2178</v>
      </c>
      <c r="J354" s="3214"/>
      <c r="K354" s="942" t="str">
        <f>IF(K345=$S$14,$T$10,IF(AND($O$3&lt;&gt;$U$3,ROUNDDOWN(K345,0)=$S$10),$U$10,$T$10))</f>
        <v>　レベル　2</v>
      </c>
      <c r="L354" s="3148" t="s">
        <v>2178</v>
      </c>
      <c r="M354" s="3149"/>
      <c r="N354" s="3148" t="s">
        <v>2178</v>
      </c>
      <c r="O354" s="3149"/>
    </row>
    <row r="355" spans="2:15" ht="77.25" customHeight="1">
      <c r="D355" s="908"/>
      <c r="E355" s="904"/>
      <c r="F355" s="942" t="str">
        <f>IF(F345=$S$14,$T$11,IF(AND($O$3&lt;&gt;$U$3,ROUNDDOWN(F345,0)=$S$11),$U$11,$T$11))</f>
        <v>■レベル　3</v>
      </c>
      <c r="G355" s="3148" t="s">
        <v>2874</v>
      </c>
      <c r="H355" s="3149"/>
      <c r="I355" s="2438" t="s">
        <v>3393</v>
      </c>
      <c r="J355" s="3214"/>
      <c r="K355" s="942" t="str">
        <f>IF(K345=$S$14,$T$11,IF(AND($O$3&lt;&gt;$U$3,ROUNDDOWN(K345,0)=$S$11),$U$11,$T$11))</f>
        <v>■レベル　3</v>
      </c>
      <c r="L355" s="3148" t="s">
        <v>220</v>
      </c>
      <c r="M355" s="3149"/>
      <c r="N355" s="3148" t="s">
        <v>2114</v>
      </c>
      <c r="O355" s="3149"/>
    </row>
    <row r="356" spans="2:15" ht="15.75" customHeight="1">
      <c r="D356" s="908"/>
      <c r="E356" s="904"/>
      <c r="F356" s="942" t="str">
        <f>IF(F345=$S$14,$T$12,IF(AND($O$3&lt;&gt;$U$3,ROUNDDOWN(F345,0)=$S$12),$U$12,$T$12))</f>
        <v>　レベル　4</v>
      </c>
      <c r="G356" s="3148" t="s">
        <v>2178</v>
      </c>
      <c r="H356" s="3149"/>
      <c r="I356" s="2452" t="s">
        <v>2178</v>
      </c>
      <c r="J356" s="3214"/>
      <c r="K356" s="942" t="str">
        <f>IF(K345=$S$14,$T$12,IF(AND($O$3&lt;&gt;$U$3,ROUNDDOWN(K345,0)=$S$12),$U$12,$T$12))</f>
        <v>　レベル　4</v>
      </c>
      <c r="L356" s="3148" t="s">
        <v>2178</v>
      </c>
      <c r="M356" s="3149"/>
      <c r="N356" s="3148" t="s">
        <v>2178</v>
      </c>
      <c r="O356" s="3149"/>
    </row>
    <row r="357" spans="2:15" ht="56.25" customHeight="1">
      <c r="D357" s="908"/>
      <c r="E357" s="904"/>
      <c r="F357" s="953" t="str">
        <f>IF(F345=$S$14,$T$13,IF(AND($O$3&lt;&gt;$U$3,ROUNDDOWN(F345,0)=$S$13),$U$13,$T$13))</f>
        <v>　レベル　5</v>
      </c>
      <c r="G357" s="3146" t="s">
        <v>1982</v>
      </c>
      <c r="H357" s="3147"/>
      <c r="I357" s="2436" t="s">
        <v>2115</v>
      </c>
      <c r="J357" s="2447"/>
      <c r="K357" s="953" t="str">
        <f>IF(K345=$S$14,$T$13,IF(AND($O$3&lt;&gt;$U$3,ROUNDDOWN(K345,0)=$S$13),$U$13,$T$13))</f>
        <v>　レベル　5</v>
      </c>
      <c r="L357" s="3146" t="s">
        <v>2872</v>
      </c>
      <c r="M357" s="3147"/>
      <c r="N357" s="3146" t="s">
        <v>1983</v>
      </c>
      <c r="O357" s="3147"/>
    </row>
    <row r="358" spans="2:15" ht="15.5">
      <c r="D358" s="908"/>
      <c r="E358" s="1112"/>
      <c r="F358" s="1112"/>
      <c r="G358" s="1113"/>
      <c r="H358" s="1113"/>
      <c r="I358" s="1113"/>
      <c r="J358" s="1113"/>
      <c r="K358" s="1113"/>
      <c r="L358" s="1113"/>
      <c r="M358" s="1113"/>
      <c r="N358" s="1113"/>
      <c r="O358" s="1113"/>
    </row>
    <row r="359" spans="2:15" ht="15.5">
      <c r="D359" s="1326">
        <v>4</v>
      </c>
      <c r="E359" s="1042" t="s">
        <v>994</v>
      </c>
      <c r="F359" s="1042"/>
      <c r="G359" s="1044"/>
      <c r="H359" s="1044"/>
      <c r="I359" s="1044"/>
      <c r="J359" s="1044"/>
      <c r="K359" s="1044"/>
      <c r="L359" s="1044"/>
      <c r="M359" s="1044"/>
      <c r="N359" s="1044"/>
      <c r="O359" s="1044"/>
    </row>
    <row r="360" spans="2:15" ht="15.5">
      <c r="D360" s="1326">
        <v>4.0999999999999996</v>
      </c>
      <c r="E360" s="1042" t="s">
        <v>1984</v>
      </c>
      <c r="F360" s="916"/>
      <c r="G360" s="1043"/>
      <c r="H360" s="1044"/>
      <c r="I360" s="1044"/>
      <c r="J360" s="1044"/>
      <c r="K360" s="1044"/>
      <c r="L360" s="1044"/>
      <c r="M360" s="1044"/>
      <c r="N360" s="1044"/>
      <c r="O360" s="1044"/>
    </row>
    <row r="361" spans="2:15" ht="15.5">
      <c r="D361" s="908"/>
      <c r="E361" s="913"/>
      <c r="F361" s="919" t="s">
        <v>1985</v>
      </c>
      <c r="G361" s="996"/>
      <c r="H361" s="1045"/>
      <c r="I361" s="1025"/>
      <c r="J361" s="999" t="e">
        <f>IF(OR(F363=0,AND(J362=0,O362=0)),$R$3,"")</f>
        <v>#DIV/0!</v>
      </c>
      <c r="K361" s="1084"/>
      <c r="L361" s="996"/>
      <c r="M361" s="1045"/>
      <c r="N361" s="1025"/>
      <c r="O361" s="999"/>
    </row>
    <row r="362" spans="2:15" ht="16" thickBot="1">
      <c r="D362" s="908"/>
      <c r="E362" s="913"/>
      <c r="F362" s="923" t="s">
        <v>1499</v>
      </c>
      <c r="G362" s="924"/>
      <c r="H362" s="925"/>
      <c r="I362" s="926" t="s">
        <v>1364</v>
      </c>
      <c r="J362" s="929" t="e">
        <f>重み!M50</f>
        <v>#DIV/0!</v>
      </c>
      <c r="K362" s="923" t="s">
        <v>1968</v>
      </c>
      <c r="L362" s="924"/>
      <c r="M362" s="925"/>
      <c r="N362" s="926" t="s">
        <v>1364</v>
      </c>
      <c r="O362" s="929" t="e">
        <f>重み!N50</f>
        <v>#DIV/0!</v>
      </c>
    </row>
    <row r="363" spans="2:15" ht="27" customHeight="1" thickBot="1">
      <c r="D363" s="908"/>
      <c r="E363" s="913"/>
      <c r="F363" s="930">
        <v>3</v>
      </c>
      <c r="G363" s="1046" t="s">
        <v>1986</v>
      </c>
      <c r="H363" s="936"/>
      <c r="I363" s="1136" t="s">
        <v>1500</v>
      </c>
      <c r="J363" s="1137"/>
      <c r="K363" s="930">
        <v>3</v>
      </c>
      <c r="L363" s="1046" t="s">
        <v>1987</v>
      </c>
      <c r="M363" s="936"/>
      <c r="N363" s="1046"/>
      <c r="O363" s="1051"/>
    </row>
    <row r="364" spans="2:15" ht="19.5" customHeight="1">
      <c r="B364" s="1" t="s">
        <v>2177</v>
      </c>
      <c r="C364" s="1" t="s">
        <v>2177</v>
      </c>
      <c r="D364" s="908"/>
      <c r="E364" s="913"/>
      <c r="F364" s="937" t="str">
        <f>IF(F363=$S$14,$T$9,IF(ROUNDDOWN(F363,0)=$S$9,$U$9,$T$9))</f>
        <v>　レベル　1</v>
      </c>
      <c r="G364" s="3144" t="s">
        <v>2178</v>
      </c>
      <c r="H364" s="3162"/>
      <c r="I364" s="3215" t="s">
        <v>451</v>
      </c>
      <c r="J364" s="3216"/>
      <c r="K364" s="937" t="str">
        <f>IF(K363=$S$14,$T$9,IF(ROUNDDOWN(K363,0)=$S$9,$U$9,$T$9))</f>
        <v>　レベル　1</v>
      </c>
      <c r="L364" s="3148" t="s">
        <v>2178</v>
      </c>
      <c r="M364" s="3154"/>
      <c r="N364" s="3154"/>
      <c r="O364" s="3149"/>
    </row>
    <row r="365" spans="2:15" ht="19.5" customHeight="1">
      <c r="B365" s="1" t="s">
        <v>2177</v>
      </c>
      <c r="C365" s="1" t="s">
        <v>2177</v>
      </c>
      <c r="D365" s="908"/>
      <c r="E365" s="913"/>
      <c r="F365" s="942" t="str">
        <f>IF(F363=$S$14,$T$10,IF(ROUNDDOWN(F363,0)=$S$10,$U$10,$T$10))</f>
        <v>　レベル　2</v>
      </c>
      <c r="G365" s="3148" t="s">
        <v>2178</v>
      </c>
      <c r="H365" s="3149"/>
      <c r="I365" s="3215" t="s">
        <v>2178</v>
      </c>
      <c r="J365" s="3217"/>
      <c r="K365" s="942" t="str">
        <f>IF(K363=$S$14,$T$10,IF(ROUNDDOWN(K363,0)=$S$10,$U$10,$T$10))</f>
        <v>　レベル　2</v>
      </c>
      <c r="L365" s="3148" t="s">
        <v>2178</v>
      </c>
      <c r="M365" s="3165"/>
      <c r="N365" s="3165"/>
      <c r="O365" s="3192"/>
    </row>
    <row r="366" spans="2:15" ht="27" customHeight="1">
      <c r="B366" s="1">
        <v>3</v>
      </c>
      <c r="C366" s="1">
        <v>3</v>
      </c>
      <c r="D366" s="908"/>
      <c r="E366" s="913"/>
      <c r="F366" s="942" t="str">
        <f>IF(F363=$S$14,$T$11,IF(ROUNDDOWN(F363,0)=$S$11,$U$11,$T$11))</f>
        <v>■レベル　3</v>
      </c>
      <c r="G366" s="3148" t="s">
        <v>1989</v>
      </c>
      <c r="H366" s="3149"/>
      <c r="I366" s="3215" t="s">
        <v>1990</v>
      </c>
      <c r="J366" s="3216"/>
      <c r="K366" s="942" t="str">
        <f>IF(K363=$S$14,$T$11,IF(ROUNDDOWN(K363,0)=$S$11,$U$11,$T$11))</f>
        <v>■レベル　3</v>
      </c>
      <c r="L366" s="3148" t="s">
        <v>1989</v>
      </c>
      <c r="M366" s="3154"/>
      <c r="N366" s="3154"/>
      <c r="O366" s="3149"/>
    </row>
    <row r="367" spans="2:15" ht="93.75" customHeight="1">
      <c r="B367" s="1">
        <v>4</v>
      </c>
      <c r="C367" s="1">
        <v>4</v>
      </c>
      <c r="D367" s="908"/>
      <c r="E367" s="913"/>
      <c r="F367" s="942" t="str">
        <f>IF(F363=$S$14,$T$12,IF(ROUNDDOWN(F363,0)=$S$12,$U$12,$T$12))</f>
        <v>　レベル　4</v>
      </c>
      <c r="G367" s="3148" t="s">
        <v>1991</v>
      </c>
      <c r="H367" s="3149"/>
      <c r="I367" s="3215" t="s">
        <v>1501</v>
      </c>
      <c r="J367" s="3216"/>
      <c r="K367" s="942" t="str">
        <f>IF(K363=$S$14,$T$12,IF(ROUNDDOWN(K363,0)=$S$12,$U$12,$T$12))</f>
        <v>　レベル　4</v>
      </c>
      <c r="L367" s="3148" t="s">
        <v>1502</v>
      </c>
      <c r="M367" s="3154"/>
      <c r="N367" s="3154"/>
      <c r="O367" s="3149"/>
    </row>
    <row r="368" spans="2:15" ht="126.75" customHeight="1">
      <c r="B368" s="1">
        <v>5</v>
      </c>
      <c r="C368" s="1">
        <v>5</v>
      </c>
      <c r="D368" s="908"/>
      <c r="E368" s="913"/>
      <c r="F368" s="953" t="str">
        <f>IF(F363=$S$14,$T$13,IF(ROUNDDOWN(F363,0)=$S$13,$U$13,$T$13))</f>
        <v>　レベル　5</v>
      </c>
      <c r="G368" s="3146" t="s">
        <v>1503</v>
      </c>
      <c r="H368" s="3147"/>
      <c r="I368" s="3218" t="s">
        <v>1504</v>
      </c>
      <c r="J368" s="3219"/>
      <c r="K368" s="953" t="str">
        <f>IF(K363=$S$14,$T$13,IF(ROUNDDOWN(K363,0)=$S$13,$U$13,$T$13))</f>
        <v>　レベル　5</v>
      </c>
      <c r="L368" s="3146" t="s">
        <v>1503</v>
      </c>
      <c r="M368" s="3153"/>
      <c r="N368" s="3153"/>
      <c r="O368" s="3147"/>
    </row>
    <row r="369" spans="2:15" ht="15.5">
      <c r="B369" s="960">
        <v>0</v>
      </c>
      <c r="C369" s="960">
        <v>0</v>
      </c>
      <c r="D369" s="908"/>
      <c r="E369" s="909"/>
      <c r="F369" s="909"/>
      <c r="G369" s="995"/>
      <c r="H369" s="995"/>
      <c r="I369" s="995"/>
      <c r="J369" s="995"/>
      <c r="K369" s="995"/>
      <c r="L369" s="995"/>
      <c r="M369" s="995"/>
      <c r="N369" s="995"/>
      <c r="O369" s="995"/>
    </row>
    <row r="370" spans="2:15" ht="15.5">
      <c r="D370" s="908"/>
      <c r="E370" s="1058"/>
      <c r="F370" s="919" t="s">
        <v>1992</v>
      </c>
      <c r="G370" s="996"/>
      <c r="H370" s="1045"/>
      <c r="I370" s="1025"/>
      <c r="J370" s="999" t="e">
        <f>IF(OR(F372=0,AND(J371=0,O371=0)),$R$3,"")</f>
        <v>#DIV/0!</v>
      </c>
      <c r="K370" s="1084"/>
      <c r="L370" s="996"/>
      <c r="M370" s="1045"/>
      <c r="N370" s="1025"/>
      <c r="O370" s="999"/>
    </row>
    <row r="371" spans="2:15" ht="15.5" hidden="1">
      <c r="B371" s="1114" t="s">
        <v>1993</v>
      </c>
      <c r="C371" s="1114"/>
      <c r="D371" s="908"/>
      <c r="E371" s="1058"/>
      <c r="F371" s="923" t="s">
        <v>2827</v>
      </c>
      <c r="G371" s="924"/>
      <c r="H371" s="925"/>
      <c r="I371" s="926" t="s">
        <v>1364</v>
      </c>
      <c r="J371" s="929" t="e">
        <f>重み!M51</f>
        <v>#DIV/0!</v>
      </c>
      <c r="K371" s="923" t="s">
        <v>1968</v>
      </c>
      <c r="L371" s="924"/>
      <c r="M371" s="925"/>
      <c r="N371" s="926" t="s">
        <v>1364</v>
      </c>
      <c r="O371" s="929" t="e">
        <f>重み!N51</f>
        <v>#DIV/0!</v>
      </c>
    </row>
    <row r="372" spans="2:15" ht="16" hidden="1" thickBot="1">
      <c r="D372" s="908"/>
      <c r="E372" s="1058"/>
      <c r="F372" s="930">
        <v>0</v>
      </c>
      <c r="G372" s="1046" t="s">
        <v>1505</v>
      </c>
      <c r="H372" s="935"/>
      <c r="I372" s="1072"/>
      <c r="J372" s="936"/>
      <c r="K372" s="930">
        <v>0</v>
      </c>
      <c r="L372" s="1046" t="s">
        <v>1987</v>
      </c>
      <c r="M372" s="936"/>
      <c r="N372" s="1046"/>
      <c r="O372" s="1051"/>
    </row>
    <row r="373" spans="2:15" ht="15.5" hidden="1">
      <c r="B373" s="1">
        <v>1</v>
      </c>
      <c r="C373" s="1">
        <v>1</v>
      </c>
      <c r="D373" s="908"/>
      <c r="E373" s="1059"/>
      <c r="F373" s="937" t="str">
        <f>IF(F372=$S$14,$T$9,IF(ROUNDDOWN(F372,0)=$S$9,$U$9,$T$9))</f>
        <v>　レベル　1</v>
      </c>
      <c r="G373" s="3148" t="s">
        <v>225</v>
      </c>
      <c r="H373" s="3154"/>
      <c r="I373" s="3154"/>
      <c r="J373" s="3149"/>
      <c r="K373" s="937" t="str">
        <f>IF(K372=$S$14,$T$9,IF(ROUNDDOWN(K372,0)=$S$9,$U$9,$T$9))</f>
        <v>　レベル　1</v>
      </c>
      <c r="L373" s="3148" t="s">
        <v>225</v>
      </c>
      <c r="M373" s="3154"/>
      <c r="N373" s="3154"/>
      <c r="O373" s="3149"/>
    </row>
    <row r="374" spans="2:15" ht="15.5" hidden="1">
      <c r="B374" s="1">
        <v>2</v>
      </c>
      <c r="C374" s="1">
        <v>2</v>
      </c>
      <c r="D374" s="908"/>
      <c r="E374" s="1059"/>
      <c r="F374" s="942" t="str">
        <f>IF(F372=$S$14,$T$10,IF(ROUNDDOWN(F372,0)=$S$10,$U$10,$T$10))</f>
        <v>　レベル　2</v>
      </c>
      <c r="G374" s="3148" t="s">
        <v>1994</v>
      </c>
      <c r="H374" s="3154"/>
      <c r="I374" s="3154"/>
      <c r="J374" s="3149"/>
      <c r="K374" s="942" t="str">
        <f>IF(K372=$S$14,$T$10,IF(ROUNDDOWN(K372,0)=$S$10,$U$10,$T$10))</f>
        <v>　レベル　2</v>
      </c>
      <c r="L374" s="3148" t="s">
        <v>1994</v>
      </c>
      <c r="M374" s="3154"/>
      <c r="N374" s="3154"/>
      <c r="O374" s="3149"/>
    </row>
    <row r="375" spans="2:15" ht="15.5" hidden="1">
      <c r="B375" s="1">
        <v>3</v>
      </c>
      <c r="C375" s="1">
        <v>3</v>
      </c>
      <c r="D375" s="908"/>
      <c r="E375" s="1059"/>
      <c r="F375" s="942" t="str">
        <f>IF(F372=$S$14,$T$11,IF(ROUNDDOWN(F372,0)=$S$11,$U$11,$T$11))</f>
        <v>　レベル　3</v>
      </c>
      <c r="G375" s="3148" t="s">
        <v>1995</v>
      </c>
      <c r="H375" s="3154"/>
      <c r="I375" s="3154"/>
      <c r="J375" s="3149"/>
      <c r="K375" s="942" t="str">
        <f>IF(K372=$S$14,$T$11,IF(ROUNDDOWN(K372,0)=$S$11,$U$11,$T$11))</f>
        <v>　レベル　3</v>
      </c>
      <c r="L375" s="3148" t="s">
        <v>1995</v>
      </c>
      <c r="M375" s="3165"/>
      <c r="N375" s="3165"/>
      <c r="O375" s="3192"/>
    </row>
    <row r="376" spans="2:15" ht="15.5" hidden="1">
      <c r="B376" s="1" t="s">
        <v>2177</v>
      </c>
      <c r="C376" s="1" t="s">
        <v>2177</v>
      </c>
      <c r="D376" s="908"/>
      <c r="E376" s="1059"/>
      <c r="F376" s="942" t="str">
        <f>IF(F372=$S$14,$T$12,IF(ROUNDDOWN(F372,0)=$S$12,$U$12,$T$12))</f>
        <v>　レベル　4</v>
      </c>
      <c r="G376" s="3148" t="s">
        <v>2178</v>
      </c>
      <c r="H376" s="3154"/>
      <c r="I376" s="3154"/>
      <c r="J376" s="3149"/>
      <c r="K376" s="942" t="str">
        <f>IF(K372=$S$14,$T$12,IF(ROUNDDOWN(K372,0)=$S$12,$U$12,$T$12))</f>
        <v>　レベル　4</v>
      </c>
      <c r="L376" s="3148" t="s">
        <v>2178</v>
      </c>
      <c r="M376" s="3154"/>
      <c r="N376" s="3154"/>
      <c r="O376" s="3149"/>
    </row>
    <row r="377" spans="2:15" ht="15.5" hidden="1">
      <c r="B377" s="1" t="s">
        <v>2177</v>
      </c>
      <c r="C377" s="1" t="s">
        <v>2177</v>
      </c>
      <c r="D377" s="908"/>
      <c r="E377" s="1059"/>
      <c r="F377" s="953" t="str">
        <f>IF(F372=$S$14,$T$13,IF(ROUNDDOWN(F372,0)=$S$13,$U$13,$T$13))</f>
        <v>　レベル　5</v>
      </c>
      <c r="G377" s="3146" t="s">
        <v>2178</v>
      </c>
      <c r="H377" s="3153"/>
      <c r="I377" s="3153"/>
      <c r="J377" s="3147"/>
      <c r="K377" s="953" t="str">
        <f>IF(K372=$S$14,$T$13,IF(ROUNDDOWN(K372,0)=$S$13,$U$13,$T$13))</f>
        <v>　レベル　5</v>
      </c>
      <c r="L377" s="3148" t="s">
        <v>2178</v>
      </c>
      <c r="M377" s="3154"/>
      <c r="N377" s="3154"/>
      <c r="O377" s="3149"/>
    </row>
    <row r="378" spans="2:15" ht="15.5" hidden="1">
      <c r="B378" s="960">
        <v>0</v>
      </c>
      <c r="C378" s="960">
        <v>0</v>
      </c>
      <c r="D378" s="908"/>
      <c r="E378" s="909"/>
      <c r="F378" s="1138"/>
      <c r="G378" s="1102"/>
      <c r="H378" s="995"/>
      <c r="I378" s="995"/>
      <c r="J378" s="995"/>
      <c r="K378" s="995"/>
      <c r="L378" s="995"/>
      <c r="M378" s="995"/>
      <c r="N378" s="995"/>
      <c r="O378" s="995"/>
    </row>
    <row r="379" spans="2:15" ht="15.5" hidden="1">
      <c r="D379" s="908"/>
      <c r="E379" s="909"/>
      <c r="F379" s="2233" t="s">
        <v>1996</v>
      </c>
      <c r="G379" s="996"/>
      <c r="H379" s="1045"/>
      <c r="I379" s="1025"/>
      <c r="J379" s="999" t="e">
        <f>IF(OR(F381=0,AND(J380=0,O380=0)),$R$3,"")</f>
        <v>#DIV/0!</v>
      </c>
      <c r="K379" s="1084"/>
      <c r="L379" s="996"/>
      <c r="M379" s="1045"/>
      <c r="N379" s="1025"/>
      <c r="O379" s="999"/>
    </row>
    <row r="380" spans="2:15" ht="15.5" hidden="1">
      <c r="D380" s="908"/>
      <c r="E380" s="909"/>
      <c r="F380" s="923" t="s">
        <v>1523</v>
      </c>
      <c r="G380" s="924"/>
      <c r="H380" s="925"/>
      <c r="I380" s="926" t="s">
        <v>1364</v>
      </c>
      <c r="J380" s="929" t="e">
        <f>重み!M52</f>
        <v>#DIV/0!</v>
      </c>
      <c r="K380" s="923" t="s">
        <v>1968</v>
      </c>
      <c r="L380" s="924"/>
      <c r="M380" s="925"/>
      <c r="N380" s="926" t="s">
        <v>1364</v>
      </c>
      <c r="O380" s="929" t="e">
        <f>重み!N52</f>
        <v>#DIV/0!</v>
      </c>
    </row>
    <row r="381" spans="2:15" ht="16" hidden="1" thickBot="1">
      <c r="D381" s="908"/>
      <c r="E381" s="909"/>
      <c r="F381" s="930">
        <v>0</v>
      </c>
      <c r="G381" s="1051" t="s">
        <v>1997</v>
      </c>
      <c r="H381" s="1051"/>
      <c r="I381" s="1136" t="s">
        <v>226</v>
      </c>
      <c r="J381" s="1137"/>
      <c r="K381" s="930">
        <v>0</v>
      </c>
      <c r="L381" s="1046" t="s">
        <v>912</v>
      </c>
      <c r="M381" s="936"/>
      <c r="N381" s="1046"/>
      <c r="O381" s="1051"/>
    </row>
    <row r="382" spans="2:15" ht="15.5" hidden="1">
      <c r="B382" s="1">
        <v>1</v>
      </c>
      <c r="C382" s="1">
        <v>1</v>
      </c>
      <c r="D382" s="908"/>
      <c r="E382" s="909"/>
      <c r="F382" s="937" t="str">
        <f>IF(F381=$S$14,$T$9,IF(ROUNDDOWN(F381,0)=$S$9,$U$9,$T$9))</f>
        <v>　レベル　1</v>
      </c>
      <c r="G382" s="3220" t="s">
        <v>227</v>
      </c>
      <c r="H382" s="3221"/>
      <c r="I382" s="3215" t="s">
        <v>227</v>
      </c>
      <c r="J382" s="3216"/>
      <c r="K382" s="937" t="str">
        <f>IF(K381=$S$14,$T$9,IF(ROUNDDOWN(K381,0)=$S$9,$U$9,$T$9))</f>
        <v>　レベル　1</v>
      </c>
      <c r="L382" s="3144" t="s">
        <v>413</v>
      </c>
      <c r="M382" s="3164"/>
      <c r="N382" s="3164"/>
      <c r="O382" s="3150"/>
    </row>
    <row r="383" spans="2:15" ht="15.5" hidden="1">
      <c r="B383" s="1" t="s">
        <v>228</v>
      </c>
      <c r="C383" s="1" t="s">
        <v>228</v>
      </c>
      <c r="D383" s="908"/>
      <c r="E383" s="909"/>
      <c r="F383" s="942" t="str">
        <f>IF(F381=$S$14,$T$10,IF(ROUNDDOWN(F381,0)=$S$10,$U$10,$T$10))</f>
        <v>　レベル　2</v>
      </c>
      <c r="G383" s="3148" t="s">
        <v>2178</v>
      </c>
      <c r="H383" s="3192"/>
      <c r="I383" s="3215" t="s">
        <v>2178</v>
      </c>
      <c r="J383" s="3217"/>
      <c r="K383" s="942" t="str">
        <f>IF(K381=$S$14,$T$10,IF(ROUNDDOWN(K381,0)=$S$10,$U$10,$T$10))</f>
        <v>　レベル　2</v>
      </c>
      <c r="L383" s="3182" t="s">
        <v>2178</v>
      </c>
      <c r="M383" s="3183"/>
      <c r="N383" s="3183"/>
      <c r="O383" s="3184"/>
    </row>
    <row r="384" spans="2:15" ht="15.5" hidden="1">
      <c r="B384" s="1">
        <v>3</v>
      </c>
      <c r="C384" s="1">
        <v>3</v>
      </c>
      <c r="D384" s="908"/>
      <c r="E384" s="909"/>
      <c r="F384" s="942" t="str">
        <f>IF(F381=$S$14,$T$11,IF(ROUNDDOWN(F381,0)=$S$11,$U$11,$T$11))</f>
        <v>　レベル　3</v>
      </c>
      <c r="G384" s="3148" t="s">
        <v>1998</v>
      </c>
      <c r="H384" s="3192"/>
      <c r="I384" s="3215" t="s">
        <v>229</v>
      </c>
      <c r="J384" s="3216"/>
      <c r="K384" s="942" t="str">
        <f>IF(K381=$S$14,$T$11,IF(ROUNDDOWN(K381,0)=$S$11,$U$11,$T$11))</f>
        <v>　レベル　3</v>
      </c>
      <c r="L384" s="3182" t="s">
        <v>230</v>
      </c>
      <c r="M384" s="3183"/>
      <c r="N384" s="3183"/>
      <c r="O384" s="3184"/>
    </row>
    <row r="385" spans="2:15" ht="15.5" hidden="1">
      <c r="B385" s="1">
        <v>4</v>
      </c>
      <c r="C385" s="1">
        <v>4</v>
      </c>
      <c r="D385" s="908"/>
      <c r="E385" s="909"/>
      <c r="F385" s="942" t="str">
        <f>IF(F381=$S$14,$T$12,IF(ROUNDDOWN(F381,0)=$S$12,$U$12,$T$12))</f>
        <v>　レベル　4</v>
      </c>
      <c r="G385" s="3148" t="s">
        <v>231</v>
      </c>
      <c r="H385" s="3192"/>
      <c r="I385" s="3215" t="s">
        <v>2178</v>
      </c>
      <c r="J385" s="3216"/>
      <c r="K385" s="942" t="str">
        <f>IF(K381=$S$14,$T$12,IF(ROUNDDOWN(K381,0)=$S$12,$U$12,$T$12))</f>
        <v>　レベル　4</v>
      </c>
      <c r="L385" s="3182" t="s">
        <v>231</v>
      </c>
      <c r="M385" s="3183"/>
      <c r="N385" s="3183"/>
      <c r="O385" s="3184"/>
    </row>
    <row r="386" spans="2:15" ht="15.5" hidden="1">
      <c r="B386" s="1">
        <v>5</v>
      </c>
      <c r="C386" s="1">
        <v>5</v>
      </c>
      <c r="D386" s="908"/>
      <c r="E386" s="909"/>
      <c r="F386" s="953" t="str">
        <f>IF(F381=$S$14,$T$13,IF(ROUNDDOWN(F381,0)=$S$13,$U$13,$T$13))</f>
        <v>　レベル　5</v>
      </c>
      <c r="G386" s="3222" t="s">
        <v>232</v>
      </c>
      <c r="H386" s="3223"/>
      <c r="I386" s="3218" t="s">
        <v>1038</v>
      </c>
      <c r="J386" s="3219"/>
      <c r="K386" s="953" t="str">
        <f>IF(K381=$S$14,$T$13,IF(ROUNDDOWN(K381,0)=$S$13,$U$13,$T$13))</f>
        <v>　レベル　5</v>
      </c>
      <c r="L386" s="3173" t="s">
        <v>232</v>
      </c>
      <c r="M386" s="3193"/>
      <c r="N386" s="3193"/>
      <c r="O386" s="3194"/>
    </row>
    <row r="387" spans="2:15" ht="15.5" hidden="1">
      <c r="B387" s="960">
        <v>0</v>
      </c>
      <c r="C387" s="960">
        <v>0</v>
      </c>
      <c r="D387" s="908"/>
      <c r="E387" s="913"/>
      <c r="F387" s="913"/>
      <c r="G387" s="1050"/>
      <c r="H387" s="1050"/>
      <c r="I387" s="1050"/>
      <c r="J387" s="1050"/>
      <c r="K387" s="1050"/>
      <c r="L387" s="1050"/>
      <c r="M387" s="1050"/>
      <c r="N387" s="1050"/>
      <c r="O387" s="1050"/>
    </row>
    <row r="388" spans="2:15" ht="15.5" hidden="1">
      <c r="D388" s="908"/>
      <c r="E388" s="1058"/>
      <c r="F388" s="2233" t="s">
        <v>1999</v>
      </c>
      <c r="G388" s="996"/>
      <c r="H388" s="1045"/>
      <c r="I388" s="1025"/>
      <c r="J388" s="999" t="e">
        <f>IF(OR(F390=0,AND(J389=0,O389=0)),$R$3,"")</f>
        <v>#DIV/0!</v>
      </c>
      <c r="K388" s="1084"/>
      <c r="L388" s="996"/>
      <c r="M388" s="1045"/>
      <c r="N388" s="1025"/>
      <c r="O388" s="999"/>
    </row>
    <row r="389" spans="2:15" ht="15.5" hidden="1">
      <c r="D389" s="908"/>
      <c r="E389" s="1058"/>
      <c r="F389" s="923" t="s">
        <v>327</v>
      </c>
      <c r="G389" s="924"/>
      <c r="H389" s="925"/>
      <c r="I389" s="926" t="s">
        <v>1364</v>
      </c>
      <c r="J389" s="929" t="e">
        <f>重み!M53</f>
        <v>#DIV/0!</v>
      </c>
      <c r="K389" s="923" t="s">
        <v>1968</v>
      </c>
      <c r="L389" s="924"/>
      <c r="M389" s="925"/>
      <c r="N389" s="926" t="s">
        <v>1364</v>
      </c>
      <c r="O389" s="929" t="e">
        <f>重み!N53</f>
        <v>#DIV/0!</v>
      </c>
    </row>
    <row r="390" spans="2:15" ht="16" hidden="1" thickBot="1">
      <c r="D390" s="908"/>
      <c r="E390" s="1058"/>
      <c r="F390" s="930">
        <v>0</v>
      </c>
      <c r="G390" s="1046" t="s">
        <v>2000</v>
      </c>
      <c r="H390" s="935"/>
      <c r="I390" s="1072"/>
      <c r="J390" s="936"/>
      <c r="K390" s="930">
        <v>0</v>
      </c>
      <c r="L390" s="1046" t="s">
        <v>912</v>
      </c>
      <c r="M390" s="936"/>
      <c r="N390" s="1046"/>
      <c r="O390" s="1051"/>
    </row>
    <row r="391" spans="2:15" ht="15.5" hidden="1">
      <c r="B391" s="1">
        <v>1</v>
      </c>
      <c r="C391" s="1">
        <v>1</v>
      </c>
      <c r="D391" s="908"/>
      <c r="E391" s="1059"/>
      <c r="F391" s="937" t="str">
        <f>IF(F390=$S$14,$T$9,IF(ROUNDDOWN(F390,0)=$S$9,$U$9,$T$9))</f>
        <v>　レベル　1</v>
      </c>
      <c r="G391" s="3144" t="s">
        <v>413</v>
      </c>
      <c r="H391" s="3164"/>
      <c r="I391" s="3164"/>
      <c r="J391" s="3150"/>
      <c r="K391" s="937" t="str">
        <f>IF(K390=$S$14,$T$9,IF(ROUNDDOWN(K390,0)=$S$9,$U$9,$T$9))</f>
        <v>　レベル　1</v>
      </c>
      <c r="L391" s="3144" t="s">
        <v>413</v>
      </c>
      <c r="M391" s="3164"/>
      <c r="N391" s="3164"/>
      <c r="O391" s="3150"/>
    </row>
    <row r="392" spans="2:15" ht="15.5" hidden="1">
      <c r="B392" s="1" t="s">
        <v>228</v>
      </c>
      <c r="C392" s="1" t="s">
        <v>228</v>
      </c>
      <c r="D392" s="908"/>
      <c r="E392" s="1059"/>
      <c r="F392" s="942" t="str">
        <f>IF(F390=$S$14,$T$10,IF(ROUNDDOWN(F390,0)=$S$10,$U$10,$T$10))</f>
        <v>　レベル　2</v>
      </c>
      <c r="G392" s="3148" t="s">
        <v>2178</v>
      </c>
      <c r="H392" s="3154"/>
      <c r="I392" s="3154"/>
      <c r="J392" s="3149"/>
      <c r="K392" s="942" t="str">
        <f>IF(K390=$S$14,$T$10,IF(ROUNDDOWN(K390,0)=$S$10,$U$10,$T$10))</f>
        <v>　レベル　2</v>
      </c>
      <c r="L392" s="3182" t="s">
        <v>2178</v>
      </c>
      <c r="M392" s="3183"/>
      <c r="N392" s="3183"/>
      <c r="O392" s="3184"/>
    </row>
    <row r="393" spans="2:15" ht="15.5" hidden="1">
      <c r="B393" s="1">
        <v>3</v>
      </c>
      <c r="C393" s="1">
        <v>3</v>
      </c>
      <c r="D393" s="908"/>
      <c r="E393" s="1059"/>
      <c r="F393" s="942" t="str">
        <f>IF(F390=$S$14,$T$11,IF(ROUNDDOWN(F390,0)=$S$11,$U$11,$T$11))</f>
        <v>　レベル　3</v>
      </c>
      <c r="G393" s="3148" t="s">
        <v>2001</v>
      </c>
      <c r="H393" s="3154"/>
      <c r="I393" s="3154"/>
      <c r="J393" s="3149"/>
      <c r="K393" s="942" t="str">
        <f>IF(K390=$S$14,$T$11,IF(ROUNDDOWN(K390,0)=$S$11,$U$11,$T$11))</f>
        <v>　レベル　3</v>
      </c>
      <c r="L393" s="3182" t="s">
        <v>1039</v>
      </c>
      <c r="M393" s="3183"/>
      <c r="N393" s="3183"/>
      <c r="O393" s="3184"/>
    </row>
    <row r="394" spans="2:15" ht="15.5" hidden="1">
      <c r="B394" s="1">
        <v>4</v>
      </c>
      <c r="C394" s="1">
        <v>4</v>
      </c>
      <c r="D394" s="908"/>
      <c r="E394" s="1059"/>
      <c r="F394" s="942" t="str">
        <f>IF(F390=$S$14,$T$12,IF(ROUNDDOWN(F390,0)=$S$12,$U$12,$T$12))</f>
        <v>　レベル　4</v>
      </c>
      <c r="G394" s="3148" t="s">
        <v>1313</v>
      </c>
      <c r="H394" s="3154"/>
      <c r="I394" s="3154"/>
      <c r="J394" s="3149"/>
      <c r="K394" s="942" t="str">
        <f>IF(K390=$S$14,$T$12,IF(ROUNDDOWN(K390,0)=$S$12,$U$12,$T$12))</f>
        <v>　レベル　4</v>
      </c>
      <c r="L394" s="3182" t="s">
        <v>1040</v>
      </c>
      <c r="M394" s="3183"/>
      <c r="N394" s="3183"/>
      <c r="O394" s="3184"/>
    </row>
    <row r="395" spans="2:15" ht="15.5" hidden="1">
      <c r="B395" s="1">
        <v>5</v>
      </c>
      <c r="C395" s="1">
        <v>5</v>
      </c>
      <c r="D395" s="908"/>
      <c r="E395" s="1059"/>
      <c r="F395" s="953" t="str">
        <f>IF(F390=$S$14,$T$13,IF(ROUNDDOWN(F390,0)=$S$13,$U$13,$T$13))</f>
        <v>　レベル　5</v>
      </c>
      <c r="G395" s="3146" t="s">
        <v>18</v>
      </c>
      <c r="H395" s="3153"/>
      <c r="I395" s="3153"/>
      <c r="J395" s="3147"/>
      <c r="K395" s="953" t="str">
        <f>IF(K390=$S$14,$T$13,IF(ROUNDDOWN(K390,0)=$S$13,$U$13,$T$13))</f>
        <v>　レベル　5</v>
      </c>
      <c r="L395" s="3173" t="s">
        <v>18</v>
      </c>
      <c r="M395" s="3193"/>
      <c r="N395" s="3193"/>
      <c r="O395" s="3194"/>
    </row>
    <row r="396" spans="2:15" ht="15.5">
      <c r="B396" s="960">
        <v>0</v>
      </c>
      <c r="C396" s="960">
        <v>0</v>
      </c>
      <c r="D396" s="908"/>
      <c r="E396" s="909"/>
      <c r="F396" s="909"/>
      <c r="G396" s="995"/>
      <c r="H396" s="995"/>
      <c r="I396" s="995"/>
      <c r="J396" s="995"/>
      <c r="K396" s="995"/>
      <c r="L396" s="995"/>
      <c r="M396" s="995"/>
      <c r="N396" s="995"/>
      <c r="O396" s="995"/>
    </row>
    <row r="397" spans="2:15" ht="15.5">
      <c r="D397" s="1326">
        <v>4.2</v>
      </c>
      <c r="E397" s="1042" t="s">
        <v>1314</v>
      </c>
      <c r="F397" s="916"/>
      <c r="G397" s="1043" t="e">
        <f>IF(AND(J408="対象外",J408&gt;0.001),"★入力エラー：レベル１～５を選択し直してください！","")</f>
        <v>#DIV/0!</v>
      </c>
      <c r="H397" s="1044"/>
      <c r="I397" s="1044"/>
      <c r="J397" s="1044"/>
      <c r="K397" s="1044"/>
      <c r="L397" s="1043"/>
      <c r="M397" s="1044"/>
      <c r="N397" s="1044"/>
      <c r="O397" s="1044"/>
    </row>
    <row r="398" spans="2:15" ht="15.5">
      <c r="D398" s="908"/>
      <c r="E398" s="1058"/>
      <c r="F398" s="919" t="s">
        <v>1315</v>
      </c>
      <c r="G398" s="996"/>
      <c r="H398" s="1045"/>
      <c r="I398" s="1025"/>
      <c r="J398" s="999" t="e">
        <f>IF(OR(F400=0,AND(J399=0,O399=0)),$R$3,"")</f>
        <v>#DIV/0!</v>
      </c>
      <c r="K398" s="1084"/>
      <c r="L398" s="996"/>
      <c r="M398" s="1045"/>
      <c r="N398" s="1025"/>
      <c r="O398" s="999"/>
    </row>
    <row r="399" spans="2:15" ht="16" thickBot="1">
      <c r="D399" s="908"/>
      <c r="E399" s="1058"/>
      <c r="F399" s="923" t="s">
        <v>1363</v>
      </c>
      <c r="G399" s="924"/>
      <c r="H399" s="925"/>
      <c r="I399" s="926" t="s">
        <v>1364</v>
      </c>
      <c r="J399" s="929" t="e">
        <f>重み!M55</f>
        <v>#DIV/0!</v>
      </c>
      <c r="K399" s="923" t="s">
        <v>1968</v>
      </c>
      <c r="L399" s="924"/>
      <c r="M399" s="925"/>
      <c r="N399" s="926" t="s">
        <v>1364</v>
      </c>
      <c r="O399" s="929" t="e">
        <f>重み!N55</f>
        <v>#DIV/0!</v>
      </c>
    </row>
    <row r="400" spans="2:15" ht="27" customHeight="1" thickBot="1">
      <c r="D400" s="908"/>
      <c r="E400" s="1059"/>
      <c r="F400" s="930">
        <v>3</v>
      </c>
      <c r="G400" s="2441" t="s">
        <v>1316</v>
      </c>
      <c r="H400" s="2442"/>
      <c r="I400" s="1072" t="s">
        <v>488</v>
      </c>
      <c r="J400" s="936"/>
      <c r="K400" s="930">
        <v>3</v>
      </c>
      <c r="L400" s="1046" t="s">
        <v>912</v>
      </c>
      <c r="M400" s="936"/>
      <c r="N400" s="1046"/>
      <c r="O400" s="1051"/>
    </row>
    <row r="401" spans="2:15" ht="15.75" customHeight="1">
      <c r="B401" s="1">
        <v>1</v>
      </c>
      <c r="C401" s="1">
        <v>1</v>
      </c>
      <c r="D401" s="908"/>
      <c r="E401" s="913"/>
      <c r="F401" s="937" t="str">
        <f>IF(F400=$S$14,$T$9,IF(ROUNDDOWN(F400,0)=$S$9,$U$9,$T$9))</f>
        <v>　レベル　1</v>
      </c>
      <c r="G401" s="3148" t="s">
        <v>451</v>
      </c>
      <c r="H401" s="3196"/>
      <c r="I401" s="3148" t="s">
        <v>2178</v>
      </c>
      <c r="J401" s="3196"/>
      <c r="K401" s="937" t="str">
        <f>IF(K400=$S$14,$T$9,IF(ROUNDDOWN(K400,0)=$S$9,$U$9,$T$9))</f>
        <v>　レベル　1</v>
      </c>
      <c r="L401" s="3148" t="s">
        <v>451</v>
      </c>
      <c r="M401" s="3154"/>
      <c r="N401" s="3154"/>
      <c r="O401" s="3149"/>
    </row>
    <row r="402" spans="2:15" ht="15.75" customHeight="1">
      <c r="B402" s="1" t="s">
        <v>2844</v>
      </c>
      <c r="C402" s="1" t="s">
        <v>2844</v>
      </c>
      <c r="D402" s="908"/>
      <c r="E402" s="913"/>
      <c r="F402" s="942" t="str">
        <f>IF(F400=$S$14,$T$10,IF(ROUNDDOWN(F400,0)=$S$10,$U$10,$T$10))</f>
        <v>　レベル　2</v>
      </c>
      <c r="G402" s="3148" t="s">
        <v>2178</v>
      </c>
      <c r="H402" s="3165"/>
      <c r="I402" s="3148" t="s">
        <v>2178</v>
      </c>
      <c r="J402" s="3192"/>
      <c r="K402" s="942" t="str">
        <f>IF(K400=$S$14,$T$10,IF(ROUNDDOWN(K400,0)=$S$10,$U$10,$T$10))</f>
        <v>　レベル　2</v>
      </c>
      <c r="L402" s="3148" t="s">
        <v>2178</v>
      </c>
      <c r="M402" s="3225"/>
      <c r="N402" s="3225"/>
      <c r="O402" s="3196"/>
    </row>
    <row r="403" spans="2:15" ht="84" customHeight="1">
      <c r="B403" s="1">
        <v>3</v>
      </c>
      <c r="C403" s="1">
        <v>3</v>
      </c>
      <c r="D403" s="908"/>
      <c r="E403" s="913"/>
      <c r="F403" s="942" t="str">
        <f>IF(F400=$S$14,$T$11,IF(ROUNDDOWN(F400,0)=$S$11,$U$11,$T$11))</f>
        <v>■レベル　3</v>
      </c>
      <c r="G403" s="3148" t="s">
        <v>1041</v>
      </c>
      <c r="H403" s="3196"/>
      <c r="I403" s="3148" t="s">
        <v>3394</v>
      </c>
      <c r="J403" s="3224"/>
      <c r="K403" s="942" t="str">
        <f>IF(K400=$S$14,$T$11,IF(ROUNDDOWN(K400,0)=$S$11,$U$11,$T$11))</f>
        <v>■レベル　3</v>
      </c>
      <c r="L403" s="3148" t="s">
        <v>1041</v>
      </c>
      <c r="M403" s="3154"/>
      <c r="N403" s="3154"/>
      <c r="O403" s="3149"/>
    </row>
    <row r="404" spans="2:15" ht="84" customHeight="1">
      <c r="B404" s="1">
        <v>4</v>
      </c>
      <c r="C404" s="1">
        <v>4</v>
      </c>
      <c r="D404" s="908"/>
      <c r="E404" s="913"/>
      <c r="F404" s="942" t="str">
        <f>IF(F400=$S$14,$T$12,IF(ROUNDDOWN(F400,0)=$S$12,$U$12,$T$12))</f>
        <v>　レベル　4</v>
      </c>
      <c r="G404" s="3148" t="s">
        <v>1317</v>
      </c>
      <c r="H404" s="3196"/>
      <c r="I404" s="3148" t="s">
        <v>3395</v>
      </c>
      <c r="J404" s="3224"/>
      <c r="K404" s="942" t="str">
        <f>IF(K400=$S$14,$T$12,IF(ROUNDDOWN(K400,0)=$S$12,$U$12,$T$12))</f>
        <v>　レベル　4</v>
      </c>
      <c r="L404" s="3148" t="s">
        <v>1317</v>
      </c>
      <c r="M404" s="3154"/>
      <c r="N404" s="3154"/>
      <c r="O404" s="3149"/>
    </row>
    <row r="405" spans="2:15" ht="84" customHeight="1">
      <c r="B405" s="1">
        <v>5</v>
      </c>
      <c r="C405" s="1">
        <v>5</v>
      </c>
      <c r="D405" s="908"/>
      <c r="E405" s="913"/>
      <c r="F405" s="953" t="str">
        <f>IF(F400=$S$14,$T$13,IF(ROUNDDOWN(F400,0)=$S$13,$U$13,$T$13))</f>
        <v>　レベル　5</v>
      </c>
      <c r="G405" s="3146" t="s">
        <v>1318</v>
      </c>
      <c r="H405" s="3147"/>
      <c r="I405" s="3146" t="s">
        <v>3396</v>
      </c>
      <c r="J405" s="3226"/>
      <c r="K405" s="953" t="str">
        <f>IF(K400=$S$14,$T$13,IF(ROUNDDOWN(K400,0)=$S$13,$U$13,$T$13))</f>
        <v>　レベル　5</v>
      </c>
      <c r="L405" s="3146" t="s">
        <v>1318</v>
      </c>
      <c r="M405" s="3153"/>
      <c r="N405" s="3153"/>
      <c r="O405" s="3147"/>
    </row>
    <row r="406" spans="2:15" ht="15.5">
      <c r="B406" s="960">
        <v>0</v>
      </c>
      <c r="C406" s="960">
        <v>0</v>
      </c>
      <c r="D406" s="908"/>
      <c r="E406" s="913"/>
      <c r="F406" s="909"/>
      <c r="G406" s="995"/>
      <c r="H406" s="995"/>
      <c r="I406" s="995"/>
      <c r="J406" s="995"/>
      <c r="K406" s="995"/>
      <c r="L406" s="995"/>
      <c r="M406" s="995"/>
      <c r="N406" s="995"/>
      <c r="O406" s="995"/>
    </row>
    <row r="407" spans="2:15" ht="15.5">
      <c r="D407" s="908"/>
      <c r="E407" s="913"/>
      <c r="F407" s="919" t="s">
        <v>1319</v>
      </c>
      <c r="G407" s="996"/>
      <c r="H407" s="1045"/>
      <c r="I407" s="1025"/>
      <c r="J407" s="999" t="e">
        <f>IF(OR(F409=0,AND(J408=0,O408=0)),$R$3,"")</f>
        <v>#DIV/0!</v>
      </c>
      <c r="K407" s="1084"/>
      <c r="L407" s="996"/>
      <c r="M407" s="1045"/>
      <c r="N407" s="1025"/>
      <c r="O407" s="999"/>
    </row>
    <row r="408" spans="2:15" ht="16" thickBot="1">
      <c r="D408" s="908"/>
      <c r="E408" s="913"/>
      <c r="F408" s="923" t="s">
        <v>2478</v>
      </c>
      <c r="G408" s="924"/>
      <c r="H408" s="925"/>
      <c r="I408" s="926" t="s">
        <v>1364</v>
      </c>
      <c r="J408" s="929" t="e">
        <f>重み!M56</f>
        <v>#DIV/0!</v>
      </c>
      <c r="K408" s="923" t="s">
        <v>1968</v>
      </c>
      <c r="L408" s="924"/>
      <c r="M408" s="925"/>
      <c r="N408" s="926" t="s">
        <v>1364</v>
      </c>
      <c r="O408" s="929" t="e">
        <f>重み!N56</f>
        <v>#DIV/0!</v>
      </c>
    </row>
    <row r="409" spans="2:15" ht="27" customHeight="1" thickBot="1">
      <c r="D409" s="908"/>
      <c r="E409" s="913"/>
      <c r="F409" s="930">
        <v>3</v>
      </c>
      <c r="G409" s="1046" t="s">
        <v>3066</v>
      </c>
      <c r="H409" s="935"/>
      <c r="I409" s="1072" t="s">
        <v>24</v>
      </c>
      <c r="J409" s="936"/>
      <c r="K409" s="930">
        <v>3</v>
      </c>
      <c r="L409" s="1046" t="s">
        <v>2243</v>
      </c>
      <c r="M409" s="936"/>
      <c r="N409" s="1046" t="s">
        <v>1905</v>
      </c>
      <c r="O409" s="936"/>
    </row>
    <row r="410" spans="2:15" ht="15.75" customHeight="1">
      <c r="B410" s="1">
        <v>1</v>
      </c>
      <c r="C410" s="1">
        <v>1</v>
      </c>
      <c r="D410" s="908"/>
      <c r="E410" s="913"/>
      <c r="F410" s="937" t="str">
        <f>IF(F409=$S$14,$T$9,IF(ROUNDDOWN(F409,0)=$S$9,$U$9,$T$9))</f>
        <v>　レベル　1</v>
      </c>
      <c r="G410" s="3144" t="s">
        <v>413</v>
      </c>
      <c r="H410" s="3150"/>
      <c r="I410" s="3144" t="s">
        <v>413</v>
      </c>
      <c r="J410" s="3150"/>
      <c r="K410" s="937" t="str">
        <f>IF(K409=$S$14,$T$9,IF(ROUNDDOWN(K409,0)=$S$9,$U$9,$T$9))</f>
        <v>　レベル　1</v>
      </c>
      <c r="L410" s="3144" t="s">
        <v>1649</v>
      </c>
      <c r="M410" s="3162"/>
      <c r="N410" s="3144" t="s">
        <v>1649</v>
      </c>
      <c r="O410" s="3162"/>
    </row>
    <row r="411" spans="2:15" ht="15.75" customHeight="1">
      <c r="B411" s="1" t="s">
        <v>2842</v>
      </c>
      <c r="C411" s="1" t="s">
        <v>2842</v>
      </c>
      <c r="D411" s="908"/>
      <c r="E411" s="913"/>
      <c r="F411" s="942" t="str">
        <f>IF(F409=$S$14,$T$10,IF(ROUNDDOWN(F409,0)=$S$10,$U$10,$T$10))</f>
        <v>　レベル　2</v>
      </c>
      <c r="G411" s="3148" t="s">
        <v>2178</v>
      </c>
      <c r="H411" s="3192"/>
      <c r="I411" s="3148" t="s">
        <v>2178</v>
      </c>
      <c r="J411" s="3192"/>
      <c r="K411" s="942" t="str">
        <f>IF(K409=$S$14,$T$10,IF(ROUNDDOWN(K409,0)=$S$10,$U$10,$T$10))</f>
        <v>　レベル　2</v>
      </c>
      <c r="L411" s="3148" t="s">
        <v>2178</v>
      </c>
      <c r="M411" s="3149"/>
      <c r="N411" s="3148" t="s">
        <v>2178</v>
      </c>
      <c r="O411" s="3149"/>
    </row>
    <row r="412" spans="2:15" ht="81" customHeight="1">
      <c r="B412" s="1">
        <v>3</v>
      </c>
      <c r="C412" s="1">
        <v>3</v>
      </c>
      <c r="D412" s="908"/>
      <c r="E412" s="913"/>
      <c r="F412" s="942" t="str">
        <f>IF(F409=$S$14,$T$11,IF(ROUNDDOWN(F409,0)=$S$11,$U$11,$T$11))</f>
        <v>■レベル　3</v>
      </c>
      <c r="G412" s="3148" t="s">
        <v>371</v>
      </c>
      <c r="H412" s="3192"/>
      <c r="I412" s="3148" t="s">
        <v>21</v>
      </c>
      <c r="J412" s="3192"/>
      <c r="K412" s="942" t="str">
        <f>IF(K409=$S$14,$T$11,IF(ROUNDDOWN(K409,0)=$S$11,$U$11,$T$11))</f>
        <v>■レベル　3</v>
      </c>
      <c r="L412" s="3148" t="s">
        <v>372</v>
      </c>
      <c r="M412" s="3149"/>
      <c r="N412" s="3148" t="s">
        <v>2144</v>
      </c>
      <c r="O412" s="3149"/>
    </row>
    <row r="413" spans="2:15" ht="111" customHeight="1">
      <c r="B413" s="1">
        <v>4</v>
      </c>
      <c r="C413" s="1">
        <v>4</v>
      </c>
      <c r="D413" s="908"/>
      <c r="E413" s="913"/>
      <c r="F413" s="942" t="str">
        <f>IF(F409=$S$14,$T$12,IF(ROUNDDOWN(F409,0)=$S$12,$U$12,$T$12))</f>
        <v>　レベル　4</v>
      </c>
      <c r="G413" s="3148" t="s">
        <v>19</v>
      </c>
      <c r="H413" s="3192"/>
      <c r="I413" s="3148" t="s">
        <v>22</v>
      </c>
      <c r="J413" s="3192"/>
      <c r="K413" s="942" t="str">
        <f>IF(K409=$S$14,$T$12,IF(ROUNDDOWN(K409,0)=$S$12,$U$12,$T$12))</f>
        <v>　レベル　4</v>
      </c>
      <c r="L413" s="3148" t="s">
        <v>750</v>
      </c>
      <c r="M413" s="3149"/>
      <c r="N413" s="3148" t="s">
        <v>1700</v>
      </c>
      <c r="O413" s="3149"/>
    </row>
    <row r="414" spans="2:15" ht="128.25" customHeight="1">
      <c r="B414" s="1">
        <v>5</v>
      </c>
      <c r="C414" s="1">
        <v>5</v>
      </c>
      <c r="D414" s="908"/>
      <c r="E414" s="913"/>
      <c r="F414" s="953" t="str">
        <f>IF(F409=$S$14,$T$13,IF(ROUNDDOWN(F409,0)=$S$13,$U$13,$T$13))</f>
        <v>　レベル　5</v>
      </c>
      <c r="G414" s="3146" t="s">
        <v>20</v>
      </c>
      <c r="H414" s="3176"/>
      <c r="I414" s="3146" t="s">
        <v>23</v>
      </c>
      <c r="J414" s="3176"/>
      <c r="K414" s="953" t="str">
        <f>IF(K409=$S$14,$T$13,IF(ROUNDDOWN(K409,0)=$S$13,$U$13,$T$13))</f>
        <v>　レベル　5</v>
      </c>
      <c r="L414" s="3146" t="s">
        <v>373</v>
      </c>
      <c r="M414" s="3147"/>
      <c r="N414" s="3146" t="s">
        <v>751</v>
      </c>
      <c r="O414" s="3147"/>
    </row>
    <row r="415" spans="2:15" ht="15.5">
      <c r="B415" s="960">
        <v>0</v>
      </c>
      <c r="C415" s="960">
        <v>0</v>
      </c>
      <c r="D415" s="908"/>
      <c r="E415" s="913"/>
      <c r="F415" s="909"/>
      <c r="G415" s="995"/>
      <c r="H415" s="995"/>
      <c r="I415" s="995"/>
      <c r="J415" s="995"/>
      <c r="K415" s="995"/>
      <c r="L415" s="995"/>
      <c r="M415" s="995"/>
      <c r="N415" s="995"/>
      <c r="O415" s="995"/>
    </row>
    <row r="416" spans="2:15" ht="15.5">
      <c r="D416" s="908"/>
      <c r="E416" s="1058"/>
      <c r="F416" s="919" t="s">
        <v>1811</v>
      </c>
      <c r="G416" s="996"/>
      <c r="H416" s="1045"/>
      <c r="I416" s="1025"/>
      <c r="J416" s="999" t="e">
        <f>IF(OR(F418=0,AND(J417=0,O417=0)),$R$3,"")</f>
        <v>#DIV/0!</v>
      </c>
      <c r="K416" s="1084"/>
      <c r="L416" s="996"/>
      <c r="M416" s="1045"/>
      <c r="N416" s="1025"/>
      <c r="O416" s="999"/>
    </row>
    <row r="417" spans="2:15" ht="16" thickBot="1">
      <c r="D417" s="908"/>
      <c r="E417" s="1058"/>
      <c r="F417" s="923" t="s">
        <v>1323</v>
      </c>
      <c r="G417" s="924"/>
      <c r="H417" s="925"/>
      <c r="I417" s="926" t="s">
        <v>1364</v>
      </c>
      <c r="J417" s="929" t="e">
        <f>重み!M57</f>
        <v>#DIV/0!</v>
      </c>
      <c r="K417" s="923" t="s">
        <v>1968</v>
      </c>
      <c r="L417" s="924"/>
      <c r="M417" s="925"/>
      <c r="N417" s="926" t="s">
        <v>1364</v>
      </c>
      <c r="O417" s="929" t="e">
        <f>重み!N57</f>
        <v>#DIV/0!</v>
      </c>
    </row>
    <row r="418" spans="2:15" ht="27" customHeight="1" thickBot="1">
      <c r="D418" s="908"/>
      <c r="E418" s="1058"/>
      <c r="F418" s="930">
        <v>3</v>
      </c>
      <c r="G418" s="1046" t="s">
        <v>2796</v>
      </c>
      <c r="H418" s="935"/>
      <c r="I418" s="1046" t="s">
        <v>1905</v>
      </c>
      <c r="J418" s="936"/>
      <c r="K418" s="930">
        <v>3</v>
      </c>
      <c r="L418" s="1046" t="s">
        <v>2661</v>
      </c>
      <c r="M418" s="936"/>
      <c r="N418" s="1046" t="s">
        <v>1905</v>
      </c>
      <c r="O418" s="936"/>
    </row>
    <row r="419" spans="2:15" ht="15.75" customHeight="1">
      <c r="B419" s="1">
        <v>1</v>
      </c>
      <c r="C419" s="1">
        <v>1</v>
      </c>
      <c r="D419" s="908"/>
      <c r="E419" s="1059"/>
      <c r="F419" s="937" t="str">
        <f>IF(F418=$S$14,$T$9,IF(ROUNDDOWN(F418,0)=$S$9,$U$9,$T$9))</f>
        <v>　レベル　1</v>
      </c>
      <c r="G419" s="3144" t="s">
        <v>413</v>
      </c>
      <c r="H419" s="3150"/>
      <c r="I419" s="3144" t="s">
        <v>1649</v>
      </c>
      <c r="J419" s="3162"/>
      <c r="K419" s="937" t="str">
        <f>IF(K418=$S$14,$T$9,IF(ROUNDDOWN(K418,0)=$S$9,$U$9,$T$9))</f>
        <v>　レベル　1</v>
      </c>
      <c r="L419" s="3144" t="s">
        <v>1649</v>
      </c>
      <c r="M419" s="3162"/>
      <c r="N419" s="3144" t="s">
        <v>1649</v>
      </c>
      <c r="O419" s="3162"/>
    </row>
    <row r="420" spans="2:15" ht="15.5">
      <c r="B420" s="1" t="s">
        <v>2842</v>
      </c>
      <c r="C420" s="1" t="s">
        <v>2842</v>
      </c>
      <c r="D420" s="908"/>
      <c r="E420" s="1059"/>
      <c r="F420" s="942" t="str">
        <f>IF(F418=$S$14,$T$10,IF(ROUNDDOWN(F418,0)=$S$10,$U$10,$T$10))</f>
        <v>　レベル　2</v>
      </c>
      <c r="G420" s="3148" t="s">
        <v>2178</v>
      </c>
      <c r="H420" s="3149"/>
      <c r="I420" s="3148" t="s">
        <v>2178</v>
      </c>
      <c r="J420" s="3149"/>
      <c r="K420" s="942" t="str">
        <f>IF(K418=$S$14,$T$10,IF(ROUNDDOWN(K418,0)=$S$10,$U$10,$T$10))</f>
        <v>　レベル　2</v>
      </c>
      <c r="L420" s="3148" t="s">
        <v>2178</v>
      </c>
      <c r="M420" s="3149"/>
      <c r="N420" s="3148" t="s">
        <v>2178</v>
      </c>
      <c r="O420" s="3149"/>
    </row>
    <row r="421" spans="2:15" ht="72.75" customHeight="1">
      <c r="B421" s="1">
        <v>3</v>
      </c>
      <c r="C421" s="1">
        <v>3</v>
      </c>
      <c r="D421" s="908"/>
      <c r="E421" s="1059"/>
      <c r="F421" s="942" t="str">
        <f>IF(F418=$S$14,$T$11,IF(ROUNDDOWN(F418,0)=$S$11,$U$11,$T$11))</f>
        <v>■レベル　3</v>
      </c>
      <c r="G421" s="3148" t="s">
        <v>2797</v>
      </c>
      <c r="H421" s="3149"/>
      <c r="I421" s="3148" t="s">
        <v>2183</v>
      </c>
      <c r="J421" s="3149"/>
      <c r="K421" s="942" t="str">
        <f>IF(K418=$S$14,$T$11,IF(ROUNDDOWN(K418,0)=$S$11,$U$11,$T$11))</f>
        <v>■レベル　3</v>
      </c>
      <c r="L421" s="3148" t="s">
        <v>2184</v>
      </c>
      <c r="M421" s="3149"/>
      <c r="N421" s="3148" t="s">
        <v>2183</v>
      </c>
      <c r="O421" s="3149"/>
    </row>
    <row r="422" spans="2:15" ht="61.5" customHeight="1">
      <c r="B422" s="1">
        <v>4</v>
      </c>
      <c r="C422" s="1">
        <v>4</v>
      </c>
      <c r="D422" s="908"/>
      <c r="E422" s="1059"/>
      <c r="F422" s="942" t="str">
        <f>IF(F418=$S$14,$T$12,IF(ROUNDDOWN(F418,0)=$S$12,$U$12,$T$12))</f>
        <v>　レベル　4</v>
      </c>
      <c r="G422" s="3148" t="s">
        <v>482</v>
      </c>
      <c r="H422" s="3149"/>
      <c r="I422" s="3148" t="s">
        <v>2178</v>
      </c>
      <c r="J422" s="3149"/>
      <c r="K422" s="942" t="str">
        <f>IF(K418=$S$14,$T$12,IF(ROUNDDOWN(K418,0)=$S$12,$U$12,$T$12))</f>
        <v>　レベル　4</v>
      </c>
      <c r="L422" s="3148" t="s">
        <v>482</v>
      </c>
      <c r="M422" s="3149"/>
      <c r="N422" s="3148" t="s">
        <v>2178</v>
      </c>
      <c r="O422" s="3149"/>
    </row>
    <row r="423" spans="2:15" ht="70.5" customHeight="1">
      <c r="B423" s="1">
        <v>5</v>
      </c>
      <c r="C423" s="1">
        <v>5</v>
      </c>
      <c r="D423" s="908"/>
      <c r="E423" s="1059"/>
      <c r="F423" s="953" t="str">
        <f>IF(F418=$S$14,$T$13,IF(ROUNDDOWN(F418,0)=$S$13,$U$13,$T$13))</f>
        <v>　レベル　5</v>
      </c>
      <c r="G423" s="3146" t="s">
        <v>2220</v>
      </c>
      <c r="H423" s="3147"/>
      <c r="I423" s="3146" t="s">
        <v>2184</v>
      </c>
      <c r="J423" s="3147"/>
      <c r="K423" s="953" t="str">
        <f>IF(K418=$S$14,$T$13,IF(ROUNDDOWN(K418,0)=$S$13,$U$13,$T$13))</f>
        <v>　レベル　5</v>
      </c>
      <c r="L423" s="3146" t="s">
        <v>2185</v>
      </c>
      <c r="M423" s="3147"/>
      <c r="N423" s="3146" t="s">
        <v>2184</v>
      </c>
      <c r="O423" s="3147"/>
    </row>
    <row r="424" spans="2:15" ht="15.5" hidden="1">
      <c r="B424" s="960">
        <v>0</v>
      </c>
      <c r="C424" s="960">
        <v>0</v>
      </c>
      <c r="D424" s="908"/>
      <c r="E424" s="1059"/>
      <c r="F424" s="1059"/>
      <c r="G424" s="1110"/>
      <c r="H424" s="1110"/>
      <c r="I424" s="1110"/>
      <c r="J424" s="1110"/>
      <c r="K424" s="1110"/>
      <c r="L424" s="1110"/>
      <c r="M424" s="1110"/>
      <c r="N424" s="1110"/>
      <c r="O424" s="1110"/>
    </row>
    <row r="425" spans="2:15" ht="15.5" hidden="1">
      <c r="D425" s="908"/>
      <c r="E425" s="1059"/>
      <c r="F425" s="2233" t="s">
        <v>2221</v>
      </c>
      <c r="G425" s="996"/>
      <c r="H425" s="1045"/>
      <c r="I425" s="1025"/>
      <c r="J425" s="999" t="e">
        <f>IF(OR(F427=0,AND(J426=0,O426=0)),$R$3,"")</f>
        <v>#DIV/0!</v>
      </c>
      <c r="K425" s="1084"/>
      <c r="L425" s="996"/>
      <c r="M425" s="1045"/>
      <c r="N425" s="1025"/>
      <c r="O425" s="999"/>
    </row>
    <row r="426" spans="2:15" ht="15.5" hidden="1">
      <c r="D426" s="908"/>
      <c r="E426" s="1059"/>
      <c r="F426" s="923" t="s">
        <v>2827</v>
      </c>
      <c r="G426" s="924"/>
      <c r="H426" s="925"/>
      <c r="I426" s="926" t="s">
        <v>1364</v>
      </c>
      <c r="J426" s="929" t="e">
        <f>重み!M58</f>
        <v>#DIV/0!</v>
      </c>
      <c r="K426" s="923" t="s">
        <v>1968</v>
      </c>
      <c r="L426" s="924"/>
      <c r="M426" s="925"/>
      <c r="N426" s="926" t="s">
        <v>1364</v>
      </c>
      <c r="O426" s="929" t="e">
        <f>重み!N58</f>
        <v>#DIV/0!</v>
      </c>
    </row>
    <row r="427" spans="2:15" ht="16" hidden="1" thickBot="1">
      <c r="D427" s="908"/>
      <c r="E427" s="1059"/>
      <c r="F427" s="930">
        <v>0</v>
      </c>
      <c r="G427" s="1046" t="s">
        <v>2496</v>
      </c>
      <c r="H427" s="935"/>
      <c r="I427" s="1072"/>
      <c r="J427" s="936"/>
      <c r="K427" s="930">
        <v>0</v>
      </c>
      <c r="L427" s="1046" t="s">
        <v>912</v>
      </c>
      <c r="M427" s="936"/>
      <c r="N427" s="1046"/>
      <c r="O427" s="1051"/>
    </row>
    <row r="428" spans="2:15" ht="15.75" hidden="1" customHeight="1">
      <c r="B428" s="1">
        <v>1</v>
      </c>
      <c r="C428" s="1">
        <v>1</v>
      </c>
      <c r="D428" s="908"/>
      <c r="E428" s="1059"/>
      <c r="F428" s="937" t="str">
        <f>IF(F427=$S$14,$T$9,IF(ROUNDDOWN(F427,0)=$S$9,$U$9,$T$9))</f>
        <v>　レベル　1</v>
      </c>
      <c r="G428" s="3144" t="s">
        <v>413</v>
      </c>
      <c r="H428" s="3164"/>
      <c r="I428" s="3164"/>
      <c r="J428" s="3150"/>
      <c r="K428" s="937" t="str">
        <f>IF(K427=$S$14,$T$9,IF(ROUNDDOWN(K427,0)=$S$9,$U$9,$T$9))</f>
        <v>　レベル　1</v>
      </c>
      <c r="L428" s="3144" t="s">
        <v>413</v>
      </c>
      <c r="M428" s="3164"/>
      <c r="N428" s="3164"/>
      <c r="O428" s="3150"/>
    </row>
    <row r="429" spans="2:15" ht="15.5" hidden="1">
      <c r="B429" s="1" t="s">
        <v>228</v>
      </c>
      <c r="C429" s="1" t="s">
        <v>228</v>
      </c>
      <c r="D429" s="908"/>
      <c r="E429" s="1059"/>
      <c r="F429" s="942" t="str">
        <f>IF(F427=$S$14,$T$10,IF(ROUNDDOWN(F427,0)=$S$10,$U$10,$T$10))</f>
        <v>　レベル　2</v>
      </c>
      <c r="G429" s="3148" t="s">
        <v>2178</v>
      </c>
      <c r="H429" s="3154"/>
      <c r="I429" s="3154"/>
      <c r="J429" s="3149"/>
      <c r="K429" s="942" t="str">
        <f>IF(K427=$S$14,$T$10,IF(ROUNDDOWN(K427,0)=$S$10,$U$10,$T$10))</f>
        <v>　レベル　2</v>
      </c>
      <c r="L429" s="3182" t="s">
        <v>2178</v>
      </c>
      <c r="M429" s="3183"/>
      <c r="N429" s="3183"/>
      <c r="O429" s="3184"/>
    </row>
    <row r="430" spans="2:15" ht="52.5" hidden="1" customHeight="1">
      <c r="B430" s="1">
        <v>3</v>
      </c>
      <c r="C430" s="1">
        <v>3</v>
      </c>
      <c r="D430" s="908"/>
      <c r="E430" s="1059"/>
      <c r="F430" s="942" t="str">
        <f>IF(F427=$S$14,$T$11,IF(ROUNDDOWN(F427,0)=$S$11,$U$11,$T$11))</f>
        <v>　レベル　3</v>
      </c>
      <c r="G430" s="3148" t="s">
        <v>2497</v>
      </c>
      <c r="H430" s="3154"/>
      <c r="I430" s="3154"/>
      <c r="J430" s="3149"/>
      <c r="K430" s="942" t="str">
        <f>IF(K427=$S$14,$T$11,IF(ROUNDDOWN(K427,0)=$S$11,$U$11,$T$11))</f>
        <v>　レベル　3</v>
      </c>
      <c r="L430" s="3182" t="s">
        <v>2186</v>
      </c>
      <c r="M430" s="3183"/>
      <c r="N430" s="3183"/>
      <c r="O430" s="3184"/>
    </row>
    <row r="431" spans="2:15" ht="15.5" hidden="1">
      <c r="B431" s="1" t="s">
        <v>228</v>
      </c>
      <c r="C431" s="1" t="s">
        <v>228</v>
      </c>
      <c r="D431" s="908"/>
      <c r="E431" s="1059"/>
      <c r="F431" s="942" t="str">
        <f>IF(F427=$S$14,$T$12,IF(ROUNDDOWN(F427,0)=$S$12,$U$12,$T$12))</f>
        <v>　レベル　4</v>
      </c>
      <c r="G431" s="3148" t="s">
        <v>2178</v>
      </c>
      <c r="H431" s="3154"/>
      <c r="I431" s="3154"/>
      <c r="J431" s="3149"/>
      <c r="K431" s="942" t="str">
        <f>IF(K427=$S$14,$T$12,IF(ROUNDDOWN(K427,0)=$S$12,$U$12,$T$12))</f>
        <v>　レベル　4</v>
      </c>
      <c r="L431" s="3182" t="s">
        <v>2178</v>
      </c>
      <c r="M431" s="3183"/>
      <c r="N431" s="3183"/>
      <c r="O431" s="3184"/>
    </row>
    <row r="432" spans="2:15" ht="6" hidden="1" customHeight="1">
      <c r="B432" s="1">
        <v>5</v>
      </c>
      <c r="C432" s="1">
        <v>5</v>
      </c>
      <c r="D432" s="908"/>
      <c r="E432" s="1059"/>
      <c r="F432" s="953" t="str">
        <f>IF(F427=$S$14,$T$13,IF(ROUNDDOWN(F427,0)=$S$13,$U$13,$T$13))</f>
        <v>　レベル　5</v>
      </c>
      <c r="G432" s="3146" t="s">
        <v>2498</v>
      </c>
      <c r="H432" s="3153"/>
      <c r="I432" s="3153"/>
      <c r="J432" s="3147"/>
      <c r="K432" s="953" t="str">
        <f>IF(K427=$S$14,$T$13,IF(ROUNDDOWN(K427,0)=$S$13,$U$13,$T$13))</f>
        <v>　レベル　5</v>
      </c>
      <c r="L432" s="3173" t="s">
        <v>1672</v>
      </c>
      <c r="M432" s="3193"/>
      <c r="N432" s="3193"/>
      <c r="O432" s="3194"/>
    </row>
    <row r="433" spans="2:15" ht="15.5">
      <c r="B433" s="960">
        <v>0</v>
      </c>
      <c r="C433" s="960">
        <v>0</v>
      </c>
      <c r="D433" s="908"/>
      <c r="E433" s="913"/>
      <c r="F433" s="913"/>
      <c r="G433" s="1050"/>
      <c r="H433" s="1050"/>
      <c r="I433" s="1050"/>
      <c r="J433" s="1050"/>
      <c r="K433" s="1050"/>
      <c r="L433" s="1050"/>
      <c r="M433" s="1050"/>
      <c r="N433" s="1050"/>
      <c r="O433" s="1050"/>
    </row>
    <row r="434" spans="2:15" ht="15.5">
      <c r="D434" s="1326">
        <v>4.3</v>
      </c>
      <c r="E434" s="1042" t="s">
        <v>2365</v>
      </c>
      <c r="F434" s="916"/>
      <c r="G434" s="1043"/>
      <c r="H434" s="1044"/>
      <c r="I434" s="1044"/>
      <c r="J434" s="1044"/>
      <c r="K434" s="1044"/>
      <c r="L434" s="1044"/>
      <c r="M434" s="1044"/>
      <c r="N434" s="1044"/>
      <c r="O434" s="1044"/>
    </row>
    <row r="435" spans="2:15" ht="15.5">
      <c r="D435" s="908"/>
      <c r="E435" s="913"/>
      <c r="F435" s="919" t="s">
        <v>1673</v>
      </c>
      <c r="G435" s="996"/>
      <c r="H435" s="1045"/>
      <c r="I435" s="1025"/>
      <c r="J435" s="999" t="e">
        <f>IF(OR(F437=0,J436=0),$R$3,"")</f>
        <v>#DIV/0!</v>
      </c>
      <c r="K435" s="1084" t="s">
        <v>1857</v>
      </c>
      <c r="L435" s="996"/>
      <c r="M435" s="1045"/>
      <c r="N435" s="1025"/>
      <c r="O435" s="999" t="e">
        <f>IF(OR(K437=0,O436=0),$R$3,"")</f>
        <v>#DIV/0!</v>
      </c>
    </row>
    <row r="436" spans="2:15" ht="16" thickBot="1">
      <c r="D436" s="908"/>
      <c r="E436" s="913"/>
      <c r="F436" s="923" t="s">
        <v>1674</v>
      </c>
      <c r="G436" s="924"/>
      <c r="H436" s="925"/>
      <c r="I436" s="926" t="s">
        <v>1364</v>
      </c>
      <c r="J436" s="929" t="e">
        <f>重み!M60</f>
        <v>#DIV/0!</v>
      </c>
      <c r="K436" s="923" t="s">
        <v>2019</v>
      </c>
      <c r="L436" s="924"/>
      <c r="M436" s="925"/>
      <c r="N436" s="926" t="s">
        <v>1364</v>
      </c>
      <c r="O436" s="929" t="e">
        <f>重み!M61</f>
        <v>#DIV/0!</v>
      </c>
    </row>
    <row r="437" spans="2:15" ht="27" customHeight="1" thickBot="1">
      <c r="D437" s="908"/>
      <c r="E437" s="913"/>
      <c r="F437" s="930">
        <v>3</v>
      </c>
      <c r="G437" s="1046" t="s">
        <v>1858</v>
      </c>
      <c r="H437" s="935"/>
      <c r="I437" s="1072"/>
      <c r="J437" s="936"/>
      <c r="K437" s="930">
        <v>5</v>
      </c>
      <c r="L437" s="1046" t="s">
        <v>1859</v>
      </c>
      <c r="M437" s="936"/>
      <c r="N437" s="1046"/>
      <c r="O437" s="1051"/>
    </row>
    <row r="438" spans="2:15" ht="15.5">
      <c r="B438" s="1">
        <v>1</v>
      </c>
      <c r="C438" s="1">
        <v>1</v>
      </c>
      <c r="D438" s="908"/>
      <c r="E438" s="913"/>
      <c r="F438" s="937" t="str">
        <f>IF(F437=$S$14,$T$9,IF(ROUNDDOWN(F437,0)=$S$9,$U$9,$T$9))</f>
        <v>　レベル　1</v>
      </c>
      <c r="G438" s="3144" t="s">
        <v>413</v>
      </c>
      <c r="H438" s="3164"/>
      <c r="I438" s="3164"/>
      <c r="J438" s="3150"/>
      <c r="K438" s="937" t="str">
        <f>IF(K437=$S$14,$T$9,IF(ROUNDDOWN(K437,0)=$S$9,$U$9,$T$9))</f>
        <v>　レベル　1</v>
      </c>
      <c r="L438" s="3144" t="s">
        <v>413</v>
      </c>
      <c r="M438" s="3164"/>
      <c r="N438" s="3164"/>
      <c r="O438" s="3150"/>
    </row>
    <row r="439" spans="2:15" ht="15.5">
      <c r="B439" s="1" t="s">
        <v>2177</v>
      </c>
      <c r="C439" s="1" t="s">
        <v>2177</v>
      </c>
      <c r="D439" s="908"/>
      <c r="E439" s="913"/>
      <c r="F439" s="942" t="str">
        <f>IF(F437=$S$14,$T$10,IF(ROUNDDOWN(F437,0)=$S$10,$U$10,$T$10))</f>
        <v>　レベル　2</v>
      </c>
      <c r="G439" s="3148" t="s">
        <v>2178</v>
      </c>
      <c r="H439" s="3154"/>
      <c r="I439" s="3154"/>
      <c r="J439" s="3149"/>
      <c r="K439" s="942" t="str">
        <f>IF(K437=$S$14,$T$10,IF(ROUNDDOWN(K437,0)=$S$10,$U$10,$T$10))</f>
        <v>　レベル　2</v>
      </c>
      <c r="L439" s="3148" t="s">
        <v>2178</v>
      </c>
      <c r="M439" s="3154"/>
      <c r="N439" s="3154"/>
      <c r="O439" s="3149"/>
    </row>
    <row r="440" spans="2:15" ht="45" customHeight="1">
      <c r="B440" s="1">
        <v>3</v>
      </c>
      <c r="C440" s="1">
        <v>3</v>
      </c>
      <c r="D440" s="908"/>
      <c r="E440" s="913"/>
      <c r="F440" s="942" t="str">
        <f>IF(F437=$S$14,$T$11,IF(ROUNDDOWN(F437,0)=$S$11,$U$11,$T$11))</f>
        <v>■レベル　3</v>
      </c>
      <c r="G440" s="3148" t="s">
        <v>1860</v>
      </c>
      <c r="H440" s="3154"/>
      <c r="I440" s="3154"/>
      <c r="J440" s="3149"/>
      <c r="K440" s="942" t="str">
        <f>IF(K437=$S$14,$T$11,IF(ROUNDDOWN(K437,0)=$S$11,$U$11,$T$11))</f>
        <v>　レベル　3</v>
      </c>
      <c r="L440" s="3148" t="s">
        <v>1861</v>
      </c>
      <c r="M440" s="3154"/>
      <c r="N440" s="3154"/>
      <c r="O440" s="3149"/>
    </row>
    <row r="441" spans="2:15" ht="45" customHeight="1">
      <c r="B441" s="1">
        <v>4</v>
      </c>
      <c r="C441" s="1" t="s">
        <v>2177</v>
      </c>
      <c r="D441" s="908"/>
      <c r="E441" s="913"/>
      <c r="F441" s="942" t="str">
        <f>IF(F437=$S$14,$T$12,IF(ROUNDDOWN(F437,0)=$S$12,$U$12,$T$12))</f>
        <v>　レベル　4</v>
      </c>
      <c r="G441" s="3148" t="s">
        <v>1862</v>
      </c>
      <c r="H441" s="3154"/>
      <c r="I441" s="3154"/>
      <c r="J441" s="3149"/>
      <c r="K441" s="942" t="str">
        <f>IF(K437=$S$14,$T$12,IF(ROUNDDOWN(K437,0)=$S$12,$U$12,$T$12))</f>
        <v>　レベル　4</v>
      </c>
      <c r="L441" s="3148" t="s">
        <v>2178</v>
      </c>
      <c r="M441" s="3154"/>
      <c r="N441" s="3154"/>
      <c r="O441" s="3149"/>
    </row>
    <row r="442" spans="2:15" ht="45" customHeight="1">
      <c r="B442" s="1">
        <v>5</v>
      </c>
      <c r="C442" s="1">
        <v>5</v>
      </c>
      <c r="D442" s="908"/>
      <c r="E442" s="913"/>
      <c r="F442" s="953" t="str">
        <f>IF(F437=$S$14,$T$13,IF(ROUNDDOWN(F437,0)=$S$13,$U$13,$T$13))</f>
        <v>　レベル　5</v>
      </c>
      <c r="G442" s="3146" t="s">
        <v>1675</v>
      </c>
      <c r="H442" s="3153"/>
      <c r="I442" s="3153"/>
      <c r="J442" s="3147"/>
      <c r="K442" s="953" t="str">
        <f>IF(K437=$S$14,$T$13,IF(ROUNDDOWN(K437,0)=$S$13,$U$13,$T$13))</f>
        <v>■レベル　5</v>
      </c>
      <c r="L442" s="3146" t="s">
        <v>1863</v>
      </c>
      <c r="M442" s="3153"/>
      <c r="N442" s="3153"/>
      <c r="O442" s="3147"/>
    </row>
    <row r="443" spans="2:15">
      <c r="B443" s="960">
        <v>0</v>
      </c>
      <c r="C443" s="960">
        <v>0</v>
      </c>
    </row>
    <row r="444" spans="2:15" hidden="1"/>
    <row r="445" spans="2:15" hidden="1"/>
    <row r="446" spans="2:15" hidden="1"/>
    <row r="447" spans="2:15"/>
    <row r="448" spans="2:15"/>
    <row r="449"/>
    <row r="450"/>
    <row r="451"/>
    <row r="452"/>
    <row r="453"/>
    <row r="454"/>
    <row r="455"/>
    <row r="456"/>
    <row r="457"/>
    <row r="458"/>
    <row r="459"/>
    <row r="460"/>
    <row r="461"/>
    <row r="462"/>
    <row r="463"/>
    <row r="464"/>
    <row r="465"/>
    <row r="466"/>
    <row r="467"/>
    <row r="468"/>
    <row r="469"/>
  </sheetData>
  <sheetProtection algorithmName="SHA-512" hashValue="9Y4F9t5ssV7zJLP/qPg44oCnygwMKW3DvOHOgsHWUfS0yeqLGx/9+UHIISj7wsBZSqQosYHqlH8TP4NfYoWCIw==" saltValue="Nx2JVd3K7FHkxXCF1eRrHg==" spinCount="100000" sheet="1" objects="1" scenarios="1"/>
  <mergeCells count="423">
    <mergeCell ref="G441:J441"/>
    <mergeCell ref="L441:O441"/>
    <mergeCell ref="G442:J442"/>
    <mergeCell ref="L442:O442"/>
    <mergeCell ref="G439:J439"/>
    <mergeCell ref="L439:O439"/>
    <mergeCell ref="G440:J440"/>
    <mergeCell ref="L440:O440"/>
    <mergeCell ref="G432:J432"/>
    <mergeCell ref="L432:O432"/>
    <mergeCell ref="G438:J438"/>
    <mergeCell ref="L438:O438"/>
    <mergeCell ref="G430:J430"/>
    <mergeCell ref="L430:O430"/>
    <mergeCell ref="G431:J431"/>
    <mergeCell ref="L431:O431"/>
    <mergeCell ref="G428:J428"/>
    <mergeCell ref="L428:O428"/>
    <mergeCell ref="G429:J429"/>
    <mergeCell ref="L429:O429"/>
    <mergeCell ref="G423:H423"/>
    <mergeCell ref="I423:J423"/>
    <mergeCell ref="L423:M423"/>
    <mergeCell ref="N423:O423"/>
    <mergeCell ref="G422:H422"/>
    <mergeCell ref="I422:J422"/>
    <mergeCell ref="L422:M422"/>
    <mergeCell ref="N422:O422"/>
    <mergeCell ref="G421:H421"/>
    <mergeCell ref="I421:J421"/>
    <mergeCell ref="L421:M421"/>
    <mergeCell ref="N421:O421"/>
    <mergeCell ref="G420:H420"/>
    <mergeCell ref="I420:J420"/>
    <mergeCell ref="L420:M420"/>
    <mergeCell ref="N420:O420"/>
    <mergeCell ref="G419:H419"/>
    <mergeCell ref="I419:J419"/>
    <mergeCell ref="L419:M419"/>
    <mergeCell ref="N419:O419"/>
    <mergeCell ref="L413:M413"/>
    <mergeCell ref="N413:O413"/>
    <mergeCell ref="L414:M414"/>
    <mergeCell ref="N414:O414"/>
    <mergeCell ref="G413:H413"/>
    <mergeCell ref="G414:H414"/>
    <mergeCell ref="I413:J413"/>
    <mergeCell ref="I414:J414"/>
    <mergeCell ref="L411:M411"/>
    <mergeCell ref="N411:O411"/>
    <mergeCell ref="L412:M412"/>
    <mergeCell ref="N412:O412"/>
    <mergeCell ref="G411:H411"/>
    <mergeCell ref="G412:H412"/>
    <mergeCell ref="I411:J411"/>
    <mergeCell ref="I412:J412"/>
    <mergeCell ref="G405:H405"/>
    <mergeCell ref="I405:J405"/>
    <mergeCell ref="L405:O405"/>
    <mergeCell ref="L410:M410"/>
    <mergeCell ref="N410:O410"/>
    <mergeCell ref="G410:H410"/>
    <mergeCell ref="I410:J410"/>
    <mergeCell ref="G403:H403"/>
    <mergeCell ref="I403:J403"/>
    <mergeCell ref="L403:O403"/>
    <mergeCell ref="G404:H404"/>
    <mergeCell ref="I404:J404"/>
    <mergeCell ref="L404:O404"/>
    <mergeCell ref="G401:H401"/>
    <mergeCell ref="I401:J401"/>
    <mergeCell ref="L401:O401"/>
    <mergeCell ref="G402:H402"/>
    <mergeCell ref="I402:J402"/>
    <mergeCell ref="L402:O402"/>
    <mergeCell ref="G395:J395"/>
    <mergeCell ref="L395:O395"/>
    <mergeCell ref="G392:J392"/>
    <mergeCell ref="L392:O392"/>
    <mergeCell ref="G393:J393"/>
    <mergeCell ref="L393:O393"/>
    <mergeCell ref="G394:J394"/>
    <mergeCell ref="L394:O394"/>
    <mergeCell ref="G386:H386"/>
    <mergeCell ref="I386:J386"/>
    <mergeCell ref="L386:O386"/>
    <mergeCell ref="G391:J391"/>
    <mergeCell ref="L391:O391"/>
    <mergeCell ref="I382:J382"/>
    <mergeCell ref="L382:O382"/>
    <mergeCell ref="G383:H383"/>
    <mergeCell ref="I383:J383"/>
    <mergeCell ref="L383:O383"/>
    <mergeCell ref="G385:H385"/>
    <mergeCell ref="I385:J385"/>
    <mergeCell ref="L385:O385"/>
    <mergeCell ref="G374:J374"/>
    <mergeCell ref="L374:O374"/>
    <mergeCell ref="G375:J375"/>
    <mergeCell ref="L375:O375"/>
    <mergeCell ref="G384:H384"/>
    <mergeCell ref="I384:J384"/>
    <mergeCell ref="L384:O384"/>
    <mergeCell ref="G377:J377"/>
    <mergeCell ref="L377:O377"/>
    <mergeCell ref="G382:H382"/>
    <mergeCell ref="G367:H367"/>
    <mergeCell ref="I367:J367"/>
    <mergeCell ref="G376:J376"/>
    <mergeCell ref="L376:O376"/>
    <mergeCell ref="G368:H368"/>
    <mergeCell ref="I368:J368"/>
    <mergeCell ref="L368:O368"/>
    <mergeCell ref="G373:J373"/>
    <mergeCell ref="L373:O373"/>
    <mergeCell ref="L367:O367"/>
    <mergeCell ref="G364:H364"/>
    <mergeCell ref="I364:J364"/>
    <mergeCell ref="L364:O364"/>
    <mergeCell ref="G365:H365"/>
    <mergeCell ref="I365:J365"/>
    <mergeCell ref="L365:O365"/>
    <mergeCell ref="G366:H366"/>
    <mergeCell ref="I366:J366"/>
    <mergeCell ref="L366:O366"/>
    <mergeCell ref="G356:H356"/>
    <mergeCell ref="L356:M356"/>
    <mergeCell ref="N356:O356"/>
    <mergeCell ref="G357:H357"/>
    <mergeCell ref="L357:M357"/>
    <mergeCell ref="N357:O357"/>
    <mergeCell ref="G354:H354"/>
    <mergeCell ref="L354:M354"/>
    <mergeCell ref="N354:O354"/>
    <mergeCell ref="G355:H355"/>
    <mergeCell ref="L355:M355"/>
    <mergeCell ref="N355:O355"/>
    <mergeCell ref="J353:J356"/>
    <mergeCell ref="G353:H353"/>
    <mergeCell ref="L353:M353"/>
    <mergeCell ref="N353:O353"/>
    <mergeCell ref="G351:H351"/>
    <mergeCell ref="L351:M351"/>
    <mergeCell ref="N351:O351"/>
    <mergeCell ref="G350:H350"/>
    <mergeCell ref="L350:M350"/>
    <mergeCell ref="N350:O350"/>
    <mergeCell ref="G349:H349"/>
    <mergeCell ref="L349:M349"/>
    <mergeCell ref="N349:O349"/>
    <mergeCell ref="G348:H348"/>
    <mergeCell ref="L348:M348"/>
    <mergeCell ref="N348:O348"/>
    <mergeCell ref="G341:J341"/>
    <mergeCell ref="L341:O341"/>
    <mergeCell ref="G347:H347"/>
    <mergeCell ref="L347:M347"/>
    <mergeCell ref="N347:O347"/>
    <mergeCell ref="G339:J339"/>
    <mergeCell ref="L339:O339"/>
    <mergeCell ref="G340:J340"/>
    <mergeCell ref="L340:O340"/>
    <mergeCell ref="G337:J337"/>
    <mergeCell ref="L337:O337"/>
    <mergeCell ref="G338:J338"/>
    <mergeCell ref="L338:O338"/>
    <mergeCell ref="G331:H331"/>
    <mergeCell ref="G332:H332"/>
    <mergeCell ref="F335:F336"/>
    <mergeCell ref="K335:K336"/>
    <mergeCell ref="G318:J318"/>
    <mergeCell ref="G328:H328"/>
    <mergeCell ref="G329:H329"/>
    <mergeCell ref="G330:H330"/>
    <mergeCell ref="G314:J314"/>
    <mergeCell ref="G315:J315"/>
    <mergeCell ref="G316:J316"/>
    <mergeCell ref="G317:J317"/>
    <mergeCell ref="L308:O308"/>
    <mergeCell ref="L309:O309"/>
    <mergeCell ref="G308:H308"/>
    <mergeCell ref="I308:J308"/>
    <mergeCell ref="G309:H309"/>
    <mergeCell ref="I309:J309"/>
    <mergeCell ref="L306:O306"/>
    <mergeCell ref="L307:O307"/>
    <mergeCell ref="G306:H306"/>
    <mergeCell ref="I306:J306"/>
    <mergeCell ref="G307:H307"/>
    <mergeCell ref="I307:J307"/>
    <mergeCell ref="G300:J300"/>
    <mergeCell ref="L300:O300"/>
    <mergeCell ref="L305:O305"/>
    <mergeCell ref="G305:H305"/>
    <mergeCell ref="I305:J305"/>
    <mergeCell ref="G298:J298"/>
    <mergeCell ref="L298:O298"/>
    <mergeCell ref="G299:J299"/>
    <mergeCell ref="L299:O299"/>
    <mergeCell ref="G296:J296"/>
    <mergeCell ref="L296:O296"/>
    <mergeCell ref="G297:J297"/>
    <mergeCell ref="L297:O297"/>
    <mergeCell ref="G289:H289"/>
    <mergeCell ref="I289:J289"/>
    <mergeCell ref="L289:O289"/>
    <mergeCell ref="G290:H290"/>
    <mergeCell ref="I290:J290"/>
    <mergeCell ref="L290:O290"/>
    <mergeCell ref="G287:H287"/>
    <mergeCell ref="I287:J287"/>
    <mergeCell ref="L287:O287"/>
    <mergeCell ref="G288:H288"/>
    <mergeCell ref="I288:J288"/>
    <mergeCell ref="L288:O288"/>
    <mergeCell ref="G281:J281"/>
    <mergeCell ref="G286:H286"/>
    <mergeCell ref="I286:J286"/>
    <mergeCell ref="L286:O286"/>
    <mergeCell ref="G277:J277"/>
    <mergeCell ref="G278:J278"/>
    <mergeCell ref="G279:J279"/>
    <mergeCell ref="G280:J280"/>
    <mergeCell ref="G271:J271"/>
    <mergeCell ref="L271:M271"/>
    <mergeCell ref="N271:O271"/>
    <mergeCell ref="G272:J272"/>
    <mergeCell ref="L272:M272"/>
    <mergeCell ref="N272:O272"/>
    <mergeCell ref="G269:J269"/>
    <mergeCell ref="L269:M269"/>
    <mergeCell ref="N269:O269"/>
    <mergeCell ref="G270:J270"/>
    <mergeCell ref="L270:M270"/>
    <mergeCell ref="N270:O270"/>
    <mergeCell ref="G261:J261"/>
    <mergeCell ref="L261:O261"/>
    <mergeCell ref="G268:J268"/>
    <mergeCell ref="L268:M268"/>
    <mergeCell ref="N268:O268"/>
    <mergeCell ref="G259:J259"/>
    <mergeCell ref="L259:O259"/>
    <mergeCell ref="G260:J260"/>
    <mergeCell ref="L260:O260"/>
    <mergeCell ref="G257:J257"/>
    <mergeCell ref="L257:O257"/>
    <mergeCell ref="G258:J258"/>
    <mergeCell ref="L258:O258"/>
    <mergeCell ref="N250:O250"/>
    <mergeCell ref="G251:H251"/>
    <mergeCell ref="I251:J251"/>
    <mergeCell ref="L251:M251"/>
    <mergeCell ref="N251:O251"/>
    <mergeCell ref="G249:H249"/>
    <mergeCell ref="I249:J249"/>
    <mergeCell ref="L249:M249"/>
    <mergeCell ref="N249:O249"/>
    <mergeCell ref="G247:H247"/>
    <mergeCell ref="I247:J247"/>
    <mergeCell ref="L247:M247"/>
    <mergeCell ref="N247:O247"/>
    <mergeCell ref="I244:J244"/>
    <mergeCell ref="N244:O244"/>
    <mergeCell ref="G245:H245"/>
    <mergeCell ref="I245:J245"/>
    <mergeCell ref="L245:M245"/>
    <mergeCell ref="N245:O245"/>
    <mergeCell ref="G232:H232"/>
    <mergeCell ref="L232:M232"/>
    <mergeCell ref="N232:O232"/>
    <mergeCell ref="N233:O233"/>
    <mergeCell ref="I242:J242"/>
    <mergeCell ref="G243:H243"/>
    <mergeCell ref="I243:J243"/>
    <mergeCell ref="L243:M243"/>
    <mergeCell ref="N243:O243"/>
    <mergeCell ref="N234:O234"/>
    <mergeCell ref="G241:H241"/>
    <mergeCell ref="I241:J241"/>
    <mergeCell ref="L241:M241"/>
    <mergeCell ref="N241:O241"/>
    <mergeCell ref="G234:H234"/>
    <mergeCell ref="L234:M234"/>
    <mergeCell ref="G239:H239"/>
    <mergeCell ref="G230:H230"/>
    <mergeCell ref="L230:M230"/>
    <mergeCell ref="N230:O230"/>
    <mergeCell ref="N231:O231"/>
    <mergeCell ref="G227:H227"/>
    <mergeCell ref="L227:M227"/>
    <mergeCell ref="N227:O227"/>
    <mergeCell ref="G228:H228"/>
    <mergeCell ref="L228:M228"/>
    <mergeCell ref="N228:O228"/>
    <mergeCell ref="G225:H225"/>
    <mergeCell ref="L225:M225"/>
    <mergeCell ref="N225:O225"/>
    <mergeCell ref="G226:H226"/>
    <mergeCell ref="L226:M226"/>
    <mergeCell ref="N226:O226"/>
    <mergeCell ref="G218:J218"/>
    <mergeCell ref="L218:O218"/>
    <mergeCell ref="G224:H224"/>
    <mergeCell ref="L224:M224"/>
    <mergeCell ref="N224:O224"/>
    <mergeCell ref="G216:J216"/>
    <mergeCell ref="L216:O216"/>
    <mergeCell ref="G217:J217"/>
    <mergeCell ref="L217:O217"/>
    <mergeCell ref="G214:J214"/>
    <mergeCell ref="L214:O214"/>
    <mergeCell ref="G215:J215"/>
    <mergeCell ref="L215:O215"/>
    <mergeCell ref="G207:H207"/>
    <mergeCell ref="I207:J207"/>
    <mergeCell ref="G209:H209"/>
    <mergeCell ref="I209:J209"/>
    <mergeCell ref="G204:H204"/>
    <mergeCell ref="I204:J204"/>
    <mergeCell ref="G205:H205"/>
    <mergeCell ref="I205:J205"/>
    <mergeCell ref="G198:J198"/>
    <mergeCell ref="L198:O198"/>
    <mergeCell ref="L199:O199"/>
    <mergeCell ref="G200:J200"/>
    <mergeCell ref="L200:O200"/>
    <mergeCell ref="G196:J196"/>
    <mergeCell ref="L196:O196"/>
    <mergeCell ref="G197:J197"/>
    <mergeCell ref="L197:O197"/>
    <mergeCell ref="G190:I190"/>
    <mergeCell ref="J190:L190"/>
    <mergeCell ref="M190:N190"/>
    <mergeCell ref="G191:I191"/>
    <mergeCell ref="J191:L191"/>
    <mergeCell ref="M191:N191"/>
    <mergeCell ref="G187:I187"/>
    <mergeCell ref="J187:L187"/>
    <mergeCell ref="M187:N187"/>
    <mergeCell ref="G189:I189"/>
    <mergeCell ref="J189:L189"/>
    <mergeCell ref="M189:N189"/>
    <mergeCell ref="G179:J179"/>
    <mergeCell ref="G180:J180"/>
    <mergeCell ref="L180:M180"/>
    <mergeCell ref="J181:O181"/>
    <mergeCell ref="G174:J174"/>
    <mergeCell ref="L174:M174"/>
    <mergeCell ref="G176:J176"/>
    <mergeCell ref="L176:M176"/>
    <mergeCell ref="G177:J177"/>
    <mergeCell ref="G178:J178"/>
    <mergeCell ref="L178:M178"/>
    <mergeCell ref="M96:O96"/>
    <mergeCell ref="G170:J170"/>
    <mergeCell ref="G172:J172"/>
    <mergeCell ref="L170:M170"/>
    <mergeCell ref="N170:O170"/>
    <mergeCell ref="L171:M171"/>
    <mergeCell ref="N171:O171"/>
    <mergeCell ref="L172:M172"/>
    <mergeCell ref="N172:O172"/>
    <mergeCell ref="G149:J149"/>
    <mergeCell ref="N153:O153"/>
    <mergeCell ref="N154:O154"/>
    <mergeCell ref="N155:O155"/>
    <mergeCell ref="L173:M173"/>
    <mergeCell ref="N173:O173"/>
    <mergeCell ref="G155:J155"/>
    <mergeCell ref="M92:O92"/>
    <mergeCell ref="M93:O93"/>
    <mergeCell ref="M94:O94"/>
    <mergeCell ref="M95:O95"/>
    <mergeCell ref="N86:O86"/>
    <mergeCell ref="L88:M88"/>
    <mergeCell ref="N88:O88"/>
    <mergeCell ref="L90:M90"/>
    <mergeCell ref="N90:O90"/>
    <mergeCell ref="J60:K60"/>
    <mergeCell ref="J61:K61"/>
    <mergeCell ref="J62:K62"/>
    <mergeCell ref="L86:M86"/>
    <mergeCell ref="G56:G57"/>
    <mergeCell ref="H58:I58"/>
    <mergeCell ref="J58:K58"/>
    <mergeCell ref="J59:K59"/>
    <mergeCell ref="J49:K49"/>
    <mergeCell ref="L49:M49"/>
    <mergeCell ref="L51:M51"/>
    <mergeCell ref="N49:O49"/>
    <mergeCell ref="J50:K50"/>
    <mergeCell ref="L50:M50"/>
    <mergeCell ref="N50:O50"/>
    <mergeCell ref="N35:O35"/>
    <mergeCell ref="G36:H36"/>
    <mergeCell ref="I36:J36"/>
    <mergeCell ref="N36:O36"/>
    <mergeCell ref="H45:I45"/>
    <mergeCell ref="J45:K45"/>
    <mergeCell ref="F18:F19"/>
    <mergeCell ref="F27:F28"/>
    <mergeCell ref="N33:O33"/>
    <mergeCell ref="G34:H34"/>
    <mergeCell ref="I34:J34"/>
    <mergeCell ref="N180:O180"/>
    <mergeCell ref="N176:O176"/>
    <mergeCell ref="N177:O177"/>
    <mergeCell ref="N178:O178"/>
    <mergeCell ref="N179:O179"/>
    <mergeCell ref="N174:O174"/>
    <mergeCell ref="N34:O34"/>
    <mergeCell ref="I33:J33"/>
    <mergeCell ref="N37:O37"/>
    <mergeCell ref="G38:H38"/>
    <mergeCell ref="I38:J38"/>
    <mergeCell ref="N38:O38"/>
    <mergeCell ref="G37:H37"/>
    <mergeCell ref="I37:J37"/>
    <mergeCell ref="G35:H35"/>
    <mergeCell ref="I35:J35"/>
    <mergeCell ref="N51:O51"/>
    <mergeCell ref="L52:M52"/>
    <mergeCell ref="N52:O52"/>
  </mergeCells>
  <phoneticPr fontId="22"/>
  <conditionalFormatting sqref="I43">
    <cfRule type="expression" dxfId="171" priority="1" stopIfTrue="1">
      <formula>AND(J32&gt;0,$M$44&gt;0)</formula>
    </cfRule>
  </conditionalFormatting>
  <conditionalFormatting sqref="I55">
    <cfRule type="expression" dxfId="170" priority="2" stopIfTrue="1">
      <formula>AND(O32&gt;0,K56&gt;0)</formula>
    </cfRule>
  </conditionalFormatting>
  <conditionalFormatting sqref="L8 M143 K68 K116 K100 K84 K132 K256 K195 K213 K168 K239 K267 K285 K295 K304 M327 K345 K363 K372 K381 K390 K400 K409 K418 K427 K437 K222">
    <cfRule type="expression" dxfId="169" priority="3" stopIfTrue="1">
      <formula>AND(OR(K8&lt;1,K8&gt;5),K8&lt;&gt;0)</formula>
    </cfRule>
    <cfRule type="expression" dxfId="168" priority="4" stopIfTrue="1">
      <formula>$O7&gt;0</formula>
    </cfRule>
  </conditionalFormatting>
  <conditionalFormatting sqref="K335 F335">
    <cfRule type="expression" dxfId="167" priority="5" stopIfTrue="1">
      <formula>AND(OR(F335&lt;1,F335&gt;5),F335&lt;&gt;R342)</formula>
    </cfRule>
    <cfRule type="expression" dxfId="166" priority="6" stopIfTrue="1">
      <formula>J334&gt;0</formula>
    </cfRule>
  </conditionalFormatting>
  <conditionalFormatting sqref="K336 F336">
    <cfRule type="expression" dxfId="165" priority="7" stopIfTrue="1">
      <formula>AND(OR(F336&lt;1,F336&gt;5),F336&lt;&gt;#REF!)</formula>
    </cfRule>
    <cfRule type="expression" dxfId="164" priority="8" stopIfTrue="1">
      <formula>J335&gt;0</formula>
    </cfRule>
  </conditionalFormatting>
  <conditionalFormatting sqref="F8 F143 F168 F132 F116 F100 F84 F68 F204 F213 F222 F267 F276 F285 F295 F304 F327 F345 F363 F381 F400 F409 F427 F437 F372 F313 F239 F418 F390 F256 F195 F159 F186">
    <cfRule type="expression" dxfId="163" priority="15" stopIfTrue="1">
      <formula>AND(OR(F8&lt;1,F8&gt;5),F8&lt;&gt;0)</formula>
    </cfRule>
    <cfRule type="expression" dxfId="162" priority="16" stopIfTrue="1">
      <formula>$J7&gt;0</formula>
    </cfRule>
  </conditionalFormatting>
  <conditionalFormatting sqref="G58:G62">
    <cfRule type="expression" dxfId="161" priority="17" stopIfTrue="1">
      <formula>$I$55=$T$4</formula>
    </cfRule>
    <cfRule type="expression" dxfId="160" priority="18" stopIfTrue="1">
      <formula>AND($O$32&gt;0,$K$56&gt;0)</formula>
    </cfRule>
  </conditionalFormatting>
  <conditionalFormatting sqref="F49:G52">
    <cfRule type="expression" dxfId="159" priority="21" stopIfTrue="1">
      <formula>$J$32&gt;0</formula>
    </cfRule>
  </conditionalFormatting>
  <conditionalFormatting sqref="F45:G48">
    <cfRule type="expression" dxfId="158" priority="22" stopIfTrue="1">
      <formula>AND($J$32&gt;0,$M$44&gt;2000)</formula>
    </cfRule>
    <cfRule type="expression" dxfId="157" priority="23" stopIfTrue="1">
      <formula>AND($J$32&gt;0,$M$44&lt;2000,$F$40=$S$3)</formula>
    </cfRule>
  </conditionalFormatting>
  <conditionalFormatting sqref="F40">
    <cfRule type="expression" dxfId="156" priority="24" stopIfTrue="1">
      <formula>$M$44&lt;2000</formula>
    </cfRule>
  </conditionalFormatting>
  <conditionalFormatting sqref="G43">
    <cfRule type="expression" dxfId="155" priority="150" stopIfTrue="1">
      <formula>AND(OR($G$43&lt;1,$G$43&gt;5),$G$43&lt;&gt;$R$39)</formula>
    </cfRule>
    <cfRule type="expression" dxfId="154" priority="151" stopIfTrue="1">
      <formula>AND(O32&gt;0,O$44&gt;0,I43=$T$4)</formula>
    </cfRule>
  </conditionalFormatting>
  <conditionalFormatting sqref="G55">
    <cfRule type="expression" dxfId="153" priority="152" stopIfTrue="1">
      <formula>AND(OR($G$55&lt;1,$G$55&gt;5),$G$55&lt;&gt;$W$39)</formula>
    </cfRule>
    <cfRule type="expression" dxfId="152" priority="153" stopIfTrue="1">
      <formula>AND(O32&gt;0,K56&gt;0,I55=$T$4)</formula>
    </cfRule>
  </conditionalFormatting>
  <conditionalFormatting sqref="F43">
    <cfRule type="expression" dxfId="151" priority="154" stopIfTrue="1">
      <formula>AND(OR($F$43&lt;1,$F$43&gt;5),$F$43&lt;&gt;$R$39)</formula>
    </cfRule>
    <cfRule type="expression" dxfId="150" priority="155" stopIfTrue="1">
      <formula>AND(J32&gt;0,$M$44&gt;0,I43=$T$4)</formula>
    </cfRule>
  </conditionalFormatting>
  <dataValidations count="10">
    <dataValidation type="list" allowBlank="1" showInputMessage="1" sqref="K335 F335">
      <formula1>R337:R342</formula1>
    </dataValidation>
    <dataValidation type="list" allowBlank="1" showInputMessage="1" sqref="L8 M143 K68 K116 K100 K84 K132 K195 K213 K168 K239 K267 K285 K295 K304 M327 K345 K363 K372 K381 K390 K400 K409 K418 K427 K437 K256 K222">
      <formula1>$C9:$C14</formula1>
    </dataValidation>
    <dataValidation type="list" allowBlank="1" showInputMessage="1" sqref="K336 F336">
      <formula1>R338:R342</formula1>
    </dataValidation>
    <dataValidation type="list" allowBlank="1" showInputMessage="1" sqref="F8 F143 F168 F132 F116 F100 F84 F68 F204 F213 F222 F267 F276 F285 F295 F304 F327 F345 F186 F381 F400 F409 F427 F437 F372 F313 F239 F418 F390 F256 F195 F159 F363">
      <formula1>$B9:$B14</formula1>
    </dataValidation>
    <dataValidation type="list" allowBlank="1" showInputMessage="1" showErrorMessage="1" sqref="I55 I43">
      <formula1>$T$3:$T$4</formula1>
    </dataValidation>
    <dataValidation type="list" allowBlank="1" showInputMessage="1" showErrorMessage="1" sqref="G58:G62 F45:G52">
      <formula1>"○,　"</formula1>
    </dataValidation>
    <dataValidation type="list" allowBlank="1" sqref="G55">
      <formula1>$B$56:$B$61</formula1>
    </dataValidation>
    <dataValidation type="list" allowBlank="1" showInputMessage="1" sqref="G43">
      <formula1>$C$44:$C$49</formula1>
    </dataValidation>
    <dataValidation type="list" allowBlank="1" showInputMessage="1" showErrorMessage="1" sqref="F40">
      <formula1>$S$3:$S$4</formula1>
    </dataValidation>
    <dataValidation type="list" allowBlank="1" showInputMessage="1" sqref="F43">
      <formula1>$B$44:$B$49</formula1>
    </dataValidation>
  </dataValidations>
  <printOptions horizontalCentered="1"/>
  <pageMargins left="0.59055118110236227" right="0.59055118110236227" top="0.78740157480314965" bottom="0.59055118110236227" header="0.51181102362204722" footer="0.51181102362204722"/>
  <pageSetup paperSize="9" scale="73" fitToHeight="0" orientation="portrait" verticalDpi="4294967293" r:id="rId1"/>
  <headerFooter alignWithMargins="0">
    <oddHeader>&amp;L&amp;F&amp;R&amp;A</oddHeader>
    <oddFooter>&amp;C&amp;P/&amp;N</oddFooter>
  </headerFooter>
  <rowBreaks count="7" manualBreakCount="7">
    <brk id="129" min="3" max="15" man="1"/>
    <brk id="165" min="3" max="15" man="1"/>
    <brk id="219" min="3" max="15" man="1"/>
    <brk id="262" min="3" max="15" man="1"/>
    <brk id="324" min="3" max="15" man="1"/>
    <brk id="358" min="3" max="15" man="1"/>
    <brk id="406" min="3"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fitToPage="1"/>
  </sheetPr>
  <dimension ref="A1:BU402"/>
  <sheetViews>
    <sheetView showGridLines="0" topLeftCell="A195" zoomScaleNormal="100" zoomScaleSheetLayoutView="100" workbookViewId="0">
      <selection activeCell="K194" sqref="K194"/>
    </sheetView>
  </sheetViews>
  <sheetFormatPr defaultColWidth="0" defaultRowHeight="13" zeroHeight="1"/>
  <cols>
    <col min="1" max="1" width="0.90625" customWidth="1"/>
    <col min="2" max="2" width="21.36328125" hidden="1" customWidth="1"/>
    <col min="3" max="3" width="6" hidden="1" customWidth="1"/>
    <col min="4" max="4" width="5.453125" style="2277" customWidth="1"/>
    <col min="5" max="5" width="1.453125" style="132" customWidth="1"/>
    <col min="6" max="15" width="10.6328125" style="132" customWidth="1"/>
    <col min="16" max="16" width="2.90625" customWidth="1"/>
    <col min="17" max="73" width="0" hidden="1" customWidth="1"/>
    <col min="74" max="16384" width="5.453125" hidden="1"/>
  </cols>
  <sheetData>
    <row r="1" spans="2:22" ht="15.5">
      <c r="D1" s="903"/>
      <c r="E1" s="1139"/>
      <c r="F1" s="1139"/>
      <c r="G1" s="904"/>
      <c r="H1" s="904"/>
      <c r="I1" s="904"/>
      <c r="J1" s="904"/>
      <c r="K1" s="1139"/>
      <c r="L1" s="1139"/>
      <c r="M1" s="905" t="s">
        <v>2697</v>
      </c>
      <c r="N1" s="906" t="str">
        <f>メイン!C11</f>
        <v>○○ビル</v>
      </c>
      <c r="O1" s="907"/>
      <c r="R1" t="s">
        <v>1335</v>
      </c>
    </row>
    <row r="2" spans="2:22" ht="16" thickBot="1">
      <c r="D2" s="903"/>
      <c r="E2" s="1140"/>
      <c r="F2" s="1140"/>
      <c r="G2" s="1061"/>
      <c r="H2" s="1061"/>
      <c r="I2" s="1061"/>
      <c r="J2" s="1061"/>
      <c r="K2" s="1140"/>
      <c r="L2" s="1140"/>
      <c r="M2" s="1140"/>
      <c r="N2" s="1140"/>
      <c r="O2" s="1140"/>
    </row>
    <row r="3" spans="2:22" ht="18.5" thickBot="1">
      <c r="D3" s="1388" t="s">
        <v>1676</v>
      </c>
      <c r="E3" s="1141"/>
      <c r="F3" s="559"/>
      <c r="G3" s="909"/>
      <c r="H3" s="909"/>
      <c r="I3" s="911"/>
      <c r="J3" s="912" t="s">
        <v>2576</v>
      </c>
      <c r="K3" s="913"/>
      <c r="L3" s="913"/>
      <c r="M3" s="559"/>
      <c r="N3" s="559"/>
      <c r="O3" s="1142" t="str">
        <f>IF(メイン!E39=0,"",メイン!E39)</f>
        <v/>
      </c>
      <c r="R3" t="s">
        <v>1361</v>
      </c>
      <c r="S3" t="s">
        <v>1964</v>
      </c>
      <c r="T3" t="s">
        <v>3340</v>
      </c>
      <c r="U3" t="str">
        <f>メイン!I37</f>
        <v>基本設計段階</v>
      </c>
    </row>
    <row r="4" spans="2:22" ht="6" customHeight="1">
      <c r="D4" s="908"/>
      <c r="E4" s="1141"/>
      <c r="F4" s="559"/>
      <c r="G4" s="909"/>
      <c r="H4" s="909"/>
      <c r="I4" s="1101"/>
      <c r="J4" s="909"/>
      <c r="K4" s="913"/>
      <c r="L4" s="913"/>
      <c r="M4" s="559"/>
      <c r="N4" s="559"/>
      <c r="O4" s="559"/>
      <c r="T4" t="s">
        <v>3343</v>
      </c>
      <c r="U4" t="str">
        <f>メイン!I38</f>
        <v>実施設計段階</v>
      </c>
      <c r="V4" t="s">
        <v>1864</v>
      </c>
    </row>
    <row r="5" spans="2:22" ht="15.5">
      <c r="D5" s="1326">
        <v>1</v>
      </c>
      <c r="E5" s="1143" t="s">
        <v>944</v>
      </c>
      <c r="F5" s="1143"/>
      <c r="G5" s="915"/>
      <c r="H5" s="915"/>
      <c r="I5" s="915"/>
      <c r="J5" s="915"/>
      <c r="K5" s="1143"/>
      <c r="L5" s="1143"/>
      <c r="M5" s="1143"/>
      <c r="N5" s="1143"/>
      <c r="O5" s="1143"/>
      <c r="U5" t="str">
        <f>メイン!I39</f>
        <v>竣工段階</v>
      </c>
    </row>
    <row r="6" spans="2:22" ht="15.5">
      <c r="D6" s="1326">
        <v>1.1000000000000001</v>
      </c>
      <c r="E6" s="1143" t="s">
        <v>2369</v>
      </c>
      <c r="F6" s="1143"/>
      <c r="G6" s="1144"/>
      <c r="H6" s="915"/>
      <c r="I6" s="915"/>
      <c r="J6" s="915"/>
      <c r="K6" s="1143"/>
      <c r="L6" s="1145"/>
      <c r="M6" s="1143"/>
      <c r="N6" s="1143"/>
      <c r="O6" s="1143"/>
      <c r="S6" t="s">
        <v>1677</v>
      </c>
      <c r="U6">
        <f>メイン!Q42</f>
        <v>0</v>
      </c>
    </row>
    <row r="7" spans="2:22" ht="15.5">
      <c r="D7" s="908"/>
      <c r="E7" s="913"/>
      <c r="F7" s="919" t="s">
        <v>1865</v>
      </c>
      <c r="G7" s="920"/>
      <c r="H7" s="1146"/>
      <c r="I7" s="904"/>
      <c r="J7" s="999" t="e">
        <f>IF(OR(F9=0,AND(J8=0,O8=0)),$R$3,"")</f>
        <v>#DIV/0!</v>
      </c>
      <c r="K7" s="919"/>
      <c r="L7" s="920"/>
      <c r="M7" s="1146"/>
      <c r="N7" s="904"/>
      <c r="O7" s="921"/>
      <c r="S7" t="s">
        <v>1678</v>
      </c>
    </row>
    <row r="8" spans="2:22" ht="15.75" customHeight="1" thickBot="1">
      <c r="D8" s="908"/>
      <c r="E8" s="913"/>
      <c r="F8" s="923" t="s">
        <v>487</v>
      </c>
      <c r="G8" s="924"/>
      <c r="H8" s="925"/>
      <c r="I8" s="926" t="s">
        <v>1364</v>
      </c>
      <c r="J8" s="929" t="e">
        <f>重み!M65</f>
        <v>#DIV/0!</v>
      </c>
      <c r="K8" s="923" t="s">
        <v>1968</v>
      </c>
      <c r="L8" s="924"/>
      <c r="M8" s="925"/>
      <c r="N8" s="926" t="s">
        <v>1364</v>
      </c>
      <c r="O8" s="929" t="e">
        <f>重み!N65</f>
        <v>#DIV/0!</v>
      </c>
    </row>
    <row r="9" spans="2:22" ht="27" customHeight="1" thickBot="1">
      <c r="D9" s="908"/>
      <c r="E9" s="913"/>
      <c r="F9" s="930">
        <v>3</v>
      </c>
      <c r="G9" s="1046" t="s">
        <v>1866</v>
      </c>
      <c r="H9" s="936"/>
      <c r="I9" s="1136" t="s">
        <v>1795</v>
      </c>
      <c r="J9" s="1405"/>
      <c r="K9" s="930">
        <v>3</v>
      </c>
      <c r="L9" s="1046" t="s">
        <v>1867</v>
      </c>
      <c r="M9" s="936"/>
      <c r="N9" s="1046" t="s">
        <v>1679</v>
      </c>
      <c r="O9" s="936"/>
    </row>
    <row r="10" spans="2:22" ht="30.75" customHeight="1">
      <c r="B10" s="1147">
        <v>1</v>
      </c>
      <c r="C10" s="1">
        <v>1</v>
      </c>
      <c r="D10" s="908"/>
      <c r="E10" s="913"/>
      <c r="F10" s="937" t="str">
        <f>IF(F9=$S$15,$T$10,IF(ROUNDDOWN(F9,0)=$S$10,$U$10,$T$10))</f>
        <v>　レベル　1</v>
      </c>
      <c r="G10" s="3144" t="s">
        <v>2279</v>
      </c>
      <c r="H10" s="3150"/>
      <c r="I10" s="3283" t="s">
        <v>2280</v>
      </c>
      <c r="J10" s="3284"/>
      <c r="K10" s="937" t="str">
        <f>IF(K9=$S$15,$T$10,IF(ROUNDDOWN(K9,0)=$S$10,$U$10,$T$10))</f>
        <v>　レベル　1</v>
      </c>
      <c r="L10" s="3144" t="s">
        <v>1649</v>
      </c>
      <c r="M10" s="3162"/>
      <c r="N10" s="3144" t="s">
        <v>1649</v>
      </c>
      <c r="O10" s="3162"/>
      <c r="S10">
        <v>1</v>
      </c>
      <c r="T10" t="s">
        <v>1680</v>
      </c>
      <c r="U10" t="s">
        <v>2640</v>
      </c>
    </row>
    <row r="11" spans="2:22" ht="30.75" customHeight="1">
      <c r="B11" s="1147" t="s">
        <v>2842</v>
      </c>
      <c r="C11" s="1" t="s">
        <v>2842</v>
      </c>
      <c r="D11" s="908"/>
      <c r="E11" s="913"/>
      <c r="F11" s="942" t="str">
        <f>IF(F9=$S$15,$T$11,IF(ROUNDDOWN(F9,0)=$S$11,$U$11,$T$11))</f>
        <v>　レベル　2</v>
      </c>
      <c r="G11" s="3148" t="s">
        <v>2178</v>
      </c>
      <c r="H11" s="3192"/>
      <c r="I11" s="3215" t="s">
        <v>2281</v>
      </c>
      <c r="J11" s="3285"/>
      <c r="K11" s="942" t="str">
        <f>IF(K9=$S$15,$T$11,IF(ROUNDDOWN(K9,0)=$S$11,$U$11,$T$11))</f>
        <v>　レベル　2</v>
      </c>
      <c r="L11" s="3148" t="s">
        <v>2178</v>
      </c>
      <c r="M11" s="3149"/>
      <c r="N11" s="3148" t="s">
        <v>2178</v>
      </c>
      <c r="O11" s="3149"/>
      <c r="S11">
        <v>2</v>
      </c>
      <c r="T11" t="s">
        <v>1336</v>
      </c>
      <c r="U11" t="s">
        <v>1337</v>
      </c>
    </row>
    <row r="12" spans="2:22" ht="30.75" customHeight="1">
      <c r="B12" s="1148">
        <v>3</v>
      </c>
      <c r="C12" s="1">
        <v>3</v>
      </c>
      <c r="D12" s="908"/>
      <c r="E12" s="913"/>
      <c r="F12" s="942" t="str">
        <f>IF(F9=$S$15,$T$12,IF(ROUNDDOWN(F9,0)=$S$12,$U$12,$T$12))</f>
        <v>■レベル　3</v>
      </c>
      <c r="G12" s="3148" t="s">
        <v>2282</v>
      </c>
      <c r="H12" s="3192"/>
      <c r="I12" s="3215" t="s">
        <v>2283</v>
      </c>
      <c r="J12" s="3285"/>
      <c r="K12" s="942" t="str">
        <f>IF(K9=$S$15,$T$12,IF(ROUNDDOWN(K9,0)=$S$12,$U$12,$T$12))</f>
        <v>■レベル　3</v>
      </c>
      <c r="L12" s="3148" t="s">
        <v>2641</v>
      </c>
      <c r="M12" s="3149"/>
      <c r="N12" s="3148" t="s">
        <v>2642</v>
      </c>
      <c r="O12" s="3149"/>
      <c r="S12">
        <v>3</v>
      </c>
      <c r="T12" t="s">
        <v>1342</v>
      </c>
      <c r="U12" t="s">
        <v>1343</v>
      </c>
    </row>
    <row r="13" spans="2:22" ht="30.75" customHeight="1">
      <c r="B13" s="1147">
        <v>4</v>
      </c>
      <c r="C13" s="1">
        <v>4</v>
      </c>
      <c r="D13" s="908"/>
      <c r="E13" s="913"/>
      <c r="F13" s="942" t="str">
        <f>IF(F9=$S$15,$T$13,IF(ROUNDDOWN(F9,0)=$S$13,$U$13,$T$13))</f>
        <v>　レベル　4</v>
      </c>
      <c r="G13" s="3148" t="s">
        <v>1854</v>
      </c>
      <c r="H13" s="3192"/>
      <c r="I13" s="3215" t="s">
        <v>2284</v>
      </c>
      <c r="J13" s="3285"/>
      <c r="K13" s="942" t="str">
        <f>IF(K9=$S$15,$T$13,IF(ROUNDDOWN(K9,0)=$S$13,$U$13,$T$13))</f>
        <v>　レベル　4</v>
      </c>
      <c r="L13" s="3148" t="s">
        <v>2178</v>
      </c>
      <c r="M13" s="3149"/>
      <c r="N13" s="3148" t="s">
        <v>2643</v>
      </c>
      <c r="O13" s="3149"/>
      <c r="S13">
        <v>4</v>
      </c>
      <c r="T13" t="s">
        <v>1221</v>
      </c>
      <c r="U13" t="s">
        <v>1222</v>
      </c>
    </row>
    <row r="14" spans="2:22" ht="30.75" customHeight="1">
      <c r="B14" s="1147">
        <v>5</v>
      </c>
      <c r="C14" s="1">
        <v>5</v>
      </c>
      <c r="D14" s="908"/>
      <c r="E14" s="913"/>
      <c r="F14" s="953" t="str">
        <f>IF(F9=$S$15,$T$14,IF(ROUNDDOWN(F9,0)=$S$14,$U$14,$T$14))</f>
        <v>　レベル　5</v>
      </c>
      <c r="G14" s="3146" t="s">
        <v>2285</v>
      </c>
      <c r="H14" s="3176"/>
      <c r="I14" s="3218" t="s">
        <v>2284</v>
      </c>
      <c r="J14" s="3280"/>
      <c r="K14" s="953" t="str">
        <f>IF(K9=$S$15,$T$14,IF(ROUNDDOWN(K9,0)=$S$14,$U$14,$T$14))</f>
        <v>　レベル　5</v>
      </c>
      <c r="L14" s="3146" t="s">
        <v>2644</v>
      </c>
      <c r="M14" s="3147"/>
      <c r="N14" s="3146" t="s">
        <v>2645</v>
      </c>
      <c r="O14" s="3147"/>
      <c r="S14">
        <v>5</v>
      </c>
      <c r="T14" t="s">
        <v>1228</v>
      </c>
      <c r="U14" t="s">
        <v>1229</v>
      </c>
    </row>
    <row r="15" spans="2:22" ht="15.5">
      <c r="B15" s="960">
        <v>0</v>
      </c>
      <c r="C15" s="960">
        <v>0</v>
      </c>
      <c r="D15" s="908"/>
      <c r="E15" s="913"/>
      <c r="F15" s="1116"/>
      <c r="G15" s="995"/>
      <c r="H15" s="995"/>
      <c r="I15" s="995"/>
      <c r="J15" s="995"/>
      <c r="K15" s="1116"/>
      <c r="L15" s="1116"/>
      <c r="M15" s="1116"/>
      <c r="N15" s="1116"/>
      <c r="O15" s="1116"/>
      <c r="S15">
        <v>0</v>
      </c>
      <c r="T15" t="s">
        <v>2646</v>
      </c>
      <c r="U15" t="s">
        <v>2646</v>
      </c>
    </row>
    <row r="16" spans="2:22" ht="15.5">
      <c r="D16" s="908"/>
      <c r="E16" s="559"/>
      <c r="F16" s="1084" t="s">
        <v>1855</v>
      </c>
      <c r="G16" s="996"/>
      <c r="H16" s="1045"/>
      <c r="I16" s="1025"/>
      <c r="J16" s="999" t="e">
        <f>IF(OR(F18=0,AND(J17=0,O17=0)),$R$3,"")</f>
        <v>#DIV/0!</v>
      </c>
      <c r="K16" s="1084"/>
      <c r="L16" s="996"/>
      <c r="M16" s="1045"/>
      <c r="N16" s="1025"/>
      <c r="O16" s="999"/>
    </row>
    <row r="17" spans="2:15" ht="15.75" customHeight="1" thickBot="1">
      <c r="D17" s="908"/>
      <c r="E17" s="559"/>
      <c r="F17" s="923" t="s">
        <v>2647</v>
      </c>
      <c r="G17" s="924"/>
      <c r="H17" s="925"/>
      <c r="I17" s="926" t="s">
        <v>1364</v>
      </c>
      <c r="J17" s="929" t="e">
        <f>重み!M66</f>
        <v>#DIV/0!</v>
      </c>
      <c r="K17" s="923" t="s">
        <v>1968</v>
      </c>
      <c r="L17" s="924"/>
      <c r="M17" s="925"/>
      <c r="N17" s="926" t="s">
        <v>1364</v>
      </c>
      <c r="O17" s="929" t="e">
        <f>重み!N66</f>
        <v>#DIV/0!</v>
      </c>
    </row>
    <row r="18" spans="2:15" ht="27" customHeight="1" thickBot="1">
      <c r="D18" s="908"/>
      <c r="E18" s="559"/>
      <c r="F18" s="930">
        <v>4</v>
      </c>
      <c r="G18" s="1046" t="s">
        <v>1866</v>
      </c>
      <c r="H18" s="935"/>
      <c r="I18" s="935"/>
      <c r="J18" s="936"/>
      <c r="K18" s="930">
        <v>3</v>
      </c>
      <c r="L18" s="1046" t="s">
        <v>2648</v>
      </c>
      <c r="M18" s="936"/>
      <c r="N18" s="1046"/>
      <c r="O18" s="1051"/>
    </row>
    <row r="19" spans="2:15" ht="21" customHeight="1">
      <c r="B19" s="1">
        <v>1</v>
      </c>
      <c r="C19" s="1">
        <v>1</v>
      </c>
      <c r="D19" s="908"/>
      <c r="E19" s="559"/>
      <c r="F19" s="937" t="str">
        <f>IF(F18=$S$15,$T$10,IF(ROUNDDOWN(F18,0)=$S$10,$U$10,$T$10))</f>
        <v>　レベル　1</v>
      </c>
      <c r="G19" s="3144" t="s">
        <v>2029</v>
      </c>
      <c r="H19" s="3145"/>
      <c r="I19" s="3145"/>
      <c r="J19" s="3162"/>
      <c r="K19" s="1149" t="str">
        <f>IF(K18=$S$15,$T$10,IF(ROUNDDOWN(K18,0)=$S$10,$U$10,$T$10))</f>
        <v>　レベル　1</v>
      </c>
      <c r="L19" s="3144" t="s">
        <v>2029</v>
      </c>
      <c r="M19" s="3145"/>
      <c r="N19" s="3145"/>
      <c r="O19" s="3162"/>
    </row>
    <row r="20" spans="2:15" ht="54.75" customHeight="1">
      <c r="B20" s="1">
        <v>2</v>
      </c>
      <c r="C20" s="1">
        <v>2</v>
      </c>
      <c r="D20" s="908"/>
      <c r="E20" s="559"/>
      <c r="F20" s="942" t="str">
        <f>IF(F18=$S$15,$T$11,IF(ROUNDDOWN(F18,0)=$S$11,$U$11,$T$11))</f>
        <v>　レベル　2</v>
      </c>
      <c r="G20" s="3148" t="s">
        <v>1699</v>
      </c>
      <c r="H20" s="3154"/>
      <c r="I20" s="3154"/>
      <c r="J20" s="3149"/>
      <c r="K20" s="1149" t="str">
        <f>IF(K18=$S$15,$T$11,IF(ROUNDDOWN(K18,0)=$S$11,$U$11,$T$11))</f>
        <v>　レベル　2</v>
      </c>
      <c r="L20" s="3166" t="s">
        <v>2290</v>
      </c>
      <c r="M20" s="3154"/>
      <c r="N20" s="3154"/>
      <c r="O20" s="3149"/>
    </row>
    <row r="21" spans="2:15" ht="67.5" customHeight="1">
      <c r="B21" s="1">
        <v>3</v>
      </c>
      <c r="C21" s="1">
        <v>3</v>
      </c>
      <c r="D21" s="908"/>
      <c r="E21" s="559"/>
      <c r="F21" s="942" t="str">
        <f>IF(F18=$S$15,$T$12,IF(ROUNDDOWN(F18,0)=$S$12,$U$12,$T$12))</f>
        <v>　レベル　3</v>
      </c>
      <c r="G21" s="3148" t="s">
        <v>2291</v>
      </c>
      <c r="H21" s="3154"/>
      <c r="I21" s="3154"/>
      <c r="J21" s="3149"/>
      <c r="K21" s="1149" t="str">
        <f>IF(K18=$S$15,$T$12,IF(ROUNDDOWN(K18,0)=$S$12,$U$12,$T$12))</f>
        <v>■レベル　3</v>
      </c>
      <c r="L21" s="3166" t="s">
        <v>2292</v>
      </c>
      <c r="M21" s="3154"/>
      <c r="N21" s="3154"/>
      <c r="O21" s="3149"/>
    </row>
    <row r="22" spans="2:15" ht="69.75" customHeight="1">
      <c r="B22" s="1">
        <v>4</v>
      </c>
      <c r="C22" s="1">
        <v>4</v>
      </c>
      <c r="D22" s="908"/>
      <c r="E22" s="559"/>
      <c r="F22" s="942" t="str">
        <f>IF(F18=$S$15,$T$13,IF(ROUNDDOWN(F18,0)=$S$13,$U$13,$T$13))</f>
        <v>■レベル　4</v>
      </c>
      <c r="G22" s="3148" t="s">
        <v>2293</v>
      </c>
      <c r="H22" s="3154"/>
      <c r="I22" s="3154"/>
      <c r="J22" s="3149"/>
      <c r="K22" s="1149" t="str">
        <f>IF(K18=$S$15,$T$13,IF(ROUNDDOWN(K18,0)=$S$13,$U$13,$T$13))</f>
        <v>　レベル　4</v>
      </c>
      <c r="L22" s="3166" t="s">
        <v>1576</v>
      </c>
      <c r="M22" s="3154"/>
      <c r="N22" s="3154"/>
      <c r="O22" s="3149"/>
    </row>
    <row r="23" spans="2:15" ht="69.75" customHeight="1">
      <c r="B23" s="1">
        <v>5</v>
      </c>
      <c r="C23" s="1">
        <v>5</v>
      </c>
      <c r="D23" s="908"/>
      <c r="E23" s="559"/>
      <c r="F23" s="953" t="str">
        <f>IF(F18=$S$15,$T$14,IF(ROUNDDOWN(F18,0)=$S$14,$U$14,$T$14))</f>
        <v>　レベル　5</v>
      </c>
      <c r="G23" s="3146" t="s">
        <v>2294</v>
      </c>
      <c r="H23" s="3153"/>
      <c r="I23" s="3153"/>
      <c r="J23" s="3147"/>
      <c r="K23" s="1150" t="str">
        <f>IF(K18=$S$15,$T$14,IF(ROUNDDOWN(K18,0)=$S$14,$U$14,$T$14))</f>
        <v>　レベル　5</v>
      </c>
      <c r="L23" s="3167" t="s">
        <v>2295</v>
      </c>
      <c r="M23" s="3153"/>
      <c r="N23" s="3153"/>
      <c r="O23" s="3147"/>
    </row>
    <row r="24" spans="2:15" ht="15.5">
      <c r="B24" s="960">
        <v>0</v>
      </c>
      <c r="C24" s="960">
        <v>0</v>
      </c>
      <c r="D24" s="908"/>
      <c r="E24" s="559"/>
      <c r="F24" s="1116"/>
      <c r="G24" s="995"/>
      <c r="H24" s="995"/>
      <c r="I24" s="995"/>
      <c r="J24" s="995"/>
      <c r="K24" s="1116"/>
      <c r="L24" s="1116"/>
      <c r="M24" s="1116"/>
      <c r="N24" s="1116"/>
      <c r="O24" s="1116"/>
    </row>
    <row r="25" spans="2:15" ht="15.5">
      <c r="D25" s="908"/>
      <c r="E25" s="559"/>
      <c r="F25" s="1084" t="s">
        <v>1577</v>
      </c>
      <c r="G25" s="996"/>
      <c r="H25" s="1045"/>
      <c r="I25" s="1025"/>
      <c r="J25" s="999" t="e">
        <f>IF(OR(F27=0,J26=0),$R$3,"")</f>
        <v>#DIV/0!</v>
      </c>
      <c r="K25" s="1116"/>
      <c r="L25" s="1116"/>
      <c r="M25" s="1116"/>
      <c r="N25" s="1116"/>
      <c r="O25" s="1116"/>
    </row>
    <row r="26" spans="2:15" ht="15.75" customHeight="1" thickBot="1">
      <c r="D26" s="908"/>
      <c r="E26" s="559"/>
      <c r="F26" s="1065" t="s">
        <v>327</v>
      </c>
      <c r="G26" s="924"/>
      <c r="H26" s="925"/>
      <c r="I26" s="926" t="s">
        <v>1364</v>
      </c>
      <c r="J26" s="927" t="e">
        <f>重み!M67</f>
        <v>#DIV/0!</v>
      </c>
      <c r="K26" s="924"/>
      <c r="L26" s="925"/>
      <c r="M26" s="924"/>
      <c r="N26" s="1030"/>
      <c r="O26" s="1116"/>
    </row>
    <row r="27" spans="2:15" ht="27" customHeight="1" thickBot="1">
      <c r="D27" s="908"/>
      <c r="E27" s="559"/>
      <c r="F27" s="930">
        <v>4</v>
      </c>
      <c r="G27" s="1046" t="s">
        <v>1578</v>
      </c>
      <c r="H27" s="936"/>
      <c r="I27" s="1046"/>
      <c r="J27" s="1051"/>
      <c r="K27" s="1151" t="s">
        <v>1579</v>
      </c>
      <c r="L27" s="1071"/>
      <c r="M27" s="1151" t="s">
        <v>1580</v>
      </c>
      <c r="N27" s="1051"/>
      <c r="O27" s="1116"/>
    </row>
    <row r="28" spans="2:15" ht="21" customHeight="1">
      <c r="B28" s="1">
        <v>1</v>
      </c>
      <c r="C28" s="1">
        <v>1</v>
      </c>
      <c r="D28" s="908"/>
      <c r="E28" s="559"/>
      <c r="F28" s="937" t="str">
        <f>IF(F27=$S$15,$T$10,IF(ROUNDDOWN(F27,0)=$S$10,$U$10,$T$10))</f>
        <v>　レベル　1</v>
      </c>
      <c r="G28" s="3144" t="s">
        <v>1988</v>
      </c>
      <c r="H28" s="3164"/>
      <c r="I28" s="3164"/>
      <c r="J28" s="3150"/>
      <c r="K28" s="3144" t="s">
        <v>1988</v>
      </c>
      <c r="L28" s="3145"/>
      <c r="M28" s="3145"/>
      <c r="N28" s="3162"/>
      <c r="O28" s="1116"/>
    </row>
    <row r="29" spans="2:15" ht="21" customHeight="1">
      <c r="B29" s="1" t="s">
        <v>2296</v>
      </c>
      <c r="C29" s="1" t="s">
        <v>2296</v>
      </c>
      <c r="D29" s="908"/>
      <c r="E29" s="559"/>
      <c r="F29" s="942" t="str">
        <f>IF(F27=$S$15,$T$11,IF(ROUNDDOWN(F27,0)=$S$11,$U$11,$T$11))</f>
        <v>　レベル　2</v>
      </c>
      <c r="G29" s="3182" t="s">
        <v>2178</v>
      </c>
      <c r="H29" s="3183"/>
      <c r="I29" s="3183"/>
      <c r="J29" s="3184"/>
      <c r="K29" s="3148" t="s">
        <v>2178</v>
      </c>
      <c r="L29" s="3154"/>
      <c r="M29" s="3154"/>
      <c r="N29" s="3149"/>
      <c r="O29" s="1116"/>
    </row>
    <row r="30" spans="2:15" ht="39" customHeight="1">
      <c r="B30" s="1">
        <v>3</v>
      </c>
      <c r="C30" s="1">
        <v>3</v>
      </c>
      <c r="D30" s="908"/>
      <c r="E30" s="559"/>
      <c r="F30" s="942" t="str">
        <f>IF(F27=$S$15,$T$12,IF(ROUNDDOWN(F27,0)=$S$12,$U$12,$T$12))</f>
        <v>　レベル　3</v>
      </c>
      <c r="G30" s="3182" t="s">
        <v>2297</v>
      </c>
      <c r="H30" s="3183"/>
      <c r="I30" s="3183"/>
      <c r="J30" s="3184"/>
      <c r="K30" s="3148" t="s">
        <v>1581</v>
      </c>
      <c r="L30" s="3154"/>
      <c r="M30" s="3154"/>
      <c r="N30" s="3149"/>
      <c r="O30" s="1116"/>
    </row>
    <row r="31" spans="2:15" ht="39" customHeight="1">
      <c r="B31" s="1">
        <v>4</v>
      </c>
      <c r="C31" s="1">
        <v>4</v>
      </c>
      <c r="D31" s="908"/>
      <c r="E31" s="559"/>
      <c r="F31" s="942" t="str">
        <f>IF(F27=$S$15,$T$13,IF(ROUNDDOWN(F27,0)=$S$13,$U$13,$T$13))</f>
        <v>■レベル　4</v>
      </c>
      <c r="G31" s="3182" t="s">
        <v>2298</v>
      </c>
      <c r="H31" s="3183"/>
      <c r="I31" s="3183"/>
      <c r="J31" s="3184"/>
      <c r="K31" s="3148" t="s">
        <v>1582</v>
      </c>
      <c r="L31" s="3154"/>
      <c r="M31" s="3154"/>
      <c r="N31" s="3149"/>
      <c r="O31" s="1116"/>
    </row>
    <row r="32" spans="2:15" ht="39" customHeight="1">
      <c r="B32" s="1">
        <v>5</v>
      </c>
      <c r="C32" s="1">
        <v>5</v>
      </c>
      <c r="D32" s="908"/>
      <c r="E32" s="559"/>
      <c r="F32" s="953" t="str">
        <f>IF(F27=$S$15,$T$14,IF(ROUNDDOWN(F27,0)=$S$14,$U$14,$T$14))</f>
        <v>　レベル　5</v>
      </c>
      <c r="G32" s="3173" t="s">
        <v>2299</v>
      </c>
      <c r="H32" s="3193"/>
      <c r="I32" s="3193"/>
      <c r="J32" s="3194"/>
      <c r="K32" s="3146" t="s">
        <v>1583</v>
      </c>
      <c r="L32" s="3153"/>
      <c r="M32" s="3153"/>
      <c r="N32" s="3147"/>
      <c r="O32" s="1116"/>
    </row>
    <row r="33" spans="2:15" ht="15.5">
      <c r="B33" s="960">
        <v>0</v>
      </c>
      <c r="C33" s="960">
        <v>0</v>
      </c>
      <c r="D33" s="908"/>
      <c r="E33" s="559"/>
      <c r="F33" s="1116"/>
      <c r="G33" s="995"/>
      <c r="H33" s="995"/>
      <c r="I33" s="995"/>
      <c r="J33" s="995"/>
      <c r="K33" s="1116"/>
      <c r="L33" s="1116"/>
      <c r="M33" s="1116"/>
      <c r="N33" s="1116"/>
      <c r="O33" s="1116"/>
    </row>
    <row r="34" spans="2:15" ht="15.5">
      <c r="D34" s="1326">
        <v>1.2</v>
      </c>
      <c r="E34" s="1143" t="s">
        <v>1584</v>
      </c>
      <c r="F34" s="1152"/>
      <c r="G34" s="1043"/>
      <c r="H34" s="1153"/>
      <c r="I34" s="1153"/>
      <c r="J34" s="1153"/>
      <c r="K34" s="1152"/>
      <c r="L34" s="1152"/>
      <c r="M34" s="1152"/>
      <c r="N34" s="1152"/>
      <c r="O34" s="1154"/>
    </row>
    <row r="35" spans="2:15" ht="15.5">
      <c r="D35" s="908"/>
      <c r="E35" s="913"/>
      <c r="F35" s="1084" t="s">
        <v>2300</v>
      </c>
      <c r="G35" s="996"/>
      <c r="H35" s="1045"/>
      <c r="I35" s="1025"/>
      <c r="J35" s="999" t="e">
        <f>IF(OR(F37=0,AND(J36=0,O36=0)),$R$3,"")</f>
        <v>#DIV/0!</v>
      </c>
      <c r="K35" s="1025"/>
      <c r="L35" s="1025"/>
      <c r="M35" s="995"/>
      <c r="N35" s="1025"/>
      <c r="O35" s="1025"/>
    </row>
    <row r="36" spans="2:15" ht="15.75" customHeight="1" thickBot="1">
      <c r="B36" s="1114" t="s">
        <v>1585</v>
      </c>
      <c r="D36" s="908"/>
      <c r="E36" s="913"/>
      <c r="F36" s="1065" t="s">
        <v>1647</v>
      </c>
      <c r="G36" s="924"/>
      <c r="H36" s="925"/>
      <c r="I36" s="926" t="s">
        <v>1364</v>
      </c>
      <c r="J36" s="927" t="e">
        <f>重み!M69</f>
        <v>#DIV/0!</v>
      </c>
      <c r="K36" s="1066"/>
      <c r="L36" s="1068"/>
      <c r="M36" s="1069" t="s">
        <v>1968</v>
      </c>
      <c r="N36" s="926" t="s">
        <v>1364</v>
      </c>
      <c r="O36" s="928" t="e">
        <f>重み!N69</f>
        <v>#DIV/0!</v>
      </c>
    </row>
    <row r="37" spans="2:15" ht="27" customHeight="1" thickBot="1">
      <c r="D37" s="908"/>
      <c r="E37" s="913"/>
      <c r="F37" s="930">
        <v>3</v>
      </c>
      <c r="G37" s="1046" t="s">
        <v>1866</v>
      </c>
      <c r="H37" s="936"/>
      <c r="I37" s="1051" t="s">
        <v>1586</v>
      </c>
      <c r="J37" s="1070"/>
      <c r="K37" s="1070" t="s">
        <v>447</v>
      </c>
      <c r="L37" s="1071" t="s">
        <v>488</v>
      </c>
      <c r="M37" s="930">
        <v>3</v>
      </c>
      <c r="N37" s="1046" t="s">
        <v>912</v>
      </c>
      <c r="O37" s="1072"/>
    </row>
    <row r="38" spans="2:15" ht="21" customHeight="1">
      <c r="B38" s="1">
        <v>1</v>
      </c>
      <c r="C38" s="1">
        <v>1</v>
      </c>
      <c r="D38" s="908"/>
      <c r="E38" s="913"/>
      <c r="F38" s="937" t="str">
        <f>IF(F37=$S$15,$T$10,IF(ROUNDDOWN(F37,0)=$S$10,$U$10,$T$10))</f>
        <v>　レベル　1</v>
      </c>
      <c r="G38" s="3144" t="s">
        <v>1519</v>
      </c>
      <c r="H38" s="3162"/>
      <c r="I38" s="3148" t="s">
        <v>1519</v>
      </c>
      <c r="J38" s="3196"/>
      <c r="K38" s="1074" t="s">
        <v>2029</v>
      </c>
      <c r="L38" s="1074" t="s">
        <v>451</v>
      </c>
      <c r="M38" s="937" t="str">
        <f>IF(M37=$S$15,$T$10,IF(ROUNDDOWN(M37,0)=$S$10,$U$10,$T$10))</f>
        <v>　レベル　1</v>
      </c>
      <c r="N38" s="3148" t="s">
        <v>1519</v>
      </c>
      <c r="O38" s="3196"/>
    </row>
    <row r="39" spans="2:15" ht="32.25" customHeight="1">
      <c r="B39" s="1">
        <v>2</v>
      </c>
      <c r="C39" s="1" t="s">
        <v>2844</v>
      </c>
      <c r="D39" s="908"/>
      <c r="E39" s="913"/>
      <c r="F39" s="942" t="str">
        <f>IF(F37=$S$15,$T$11,IF(ROUNDDOWN(F37,0)=$S$11,$U$11,$T$11))</f>
        <v>　レベル　2</v>
      </c>
      <c r="G39" s="3148" t="s">
        <v>2178</v>
      </c>
      <c r="H39" s="3149"/>
      <c r="I39" s="3148" t="s">
        <v>2178</v>
      </c>
      <c r="J39" s="3196"/>
      <c r="K39" s="1124" t="s">
        <v>2672</v>
      </c>
      <c r="L39" s="945" t="s">
        <v>359</v>
      </c>
      <c r="M39" s="942" t="str">
        <f>IF(M37=$S$15,$T$11,IF(ROUNDDOWN(M37,0)=$S$11,$U$11,$T$11))</f>
        <v>　レベル　2</v>
      </c>
      <c r="N39" s="3148" t="s">
        <v>2178</v>
      </c>
      <c r="O39" s="3196"/>
    </row>
    <row r="40" spans="2:15" ht="57" customHeight="1">
      <c r="B40" s="1">
        <v>3</v>
      </c>
      <c r="C40" s="1">
        <v>3</v>
      </c>
      <c r="D40" s="908"/>
      <c r="E40" s="913"/>
      <c r="F40" s="942" t="str">
        <f>IF(F37=$S$15,$T$12,IF(ROUNDDOWN(F37,0)=$S$12,$U$12,$T$12))</f>
        <v>■レベル　3</v>
      </c>
      <c r="G40" s="3148" t="s">
        <v>2806</v>
      </c>
      <c r="H40" s="3149"/>
      <c r="I40" s="3148" t="s">
        <v>2807</v>
      </c>
      <c r="J40" s="3196"/>
      <c r="K40" s="1124" t="s">
        <v>2673</v>
      </c>
      <c r="L40" s="945" t="s">
        <v>917</v>
      </c>
      <c r="M40" s="942" t="str">
        <f>IF(M37=$S$15,$T$12,IF(ROUNDDOWN(M37,0)=$S$12,$U$12,$T$12))</f>
        <v>■レベル　3</v>
      </c>
      <c r="N40" s="3148" t="s">
        <v>2808</v>
      </c>
      <c r="O40" s="3196"/>
    </row>
    <row r="41" spans="2:15" ht="57" customHeight="1">
      <c r="B41" s="1">
        <v>4</v>
      </c>
      <c r="C41" s="1">
        <v>4</v>
      </c>
      <c r="D41" s="908"/>
      <c r="E41" s="913"/>
      <c r="F41" s="942" t="str">
        <f>IF(F37=$S$15,$T$13,IF(ROUNDDOWN(F37,0)=$S$13,$U$13,$T$13))</f>
        <v>　レベル　4</v>
      </c>
      <c r="G41" s="3148" t="s">
        <v>2809</v>
      </c>
      <c r="H41" s="3149"/>
      <c r="I41" s="3148" t="s">
        <v>2810</v>
      </c>
      <c r="J41" s="3196"/>
      <c r="K41" s="1124" t="s">
        <v>2674</v>
      </c>
      <c r="L41" s="945" t="s">
        <v>359</v>
      </c>
      <c r="M41" s="942" t="str">
        <f>IF(M37=$S$15,$T$13,IF(ROUNDDOWN(M37,0)=$S$13,$U$13,$T$13))</f>
        <v>　レベル　4</v>
      </c>
      <c r="N41" s="3148" t="s">
        <v>2811</v>
      </c>
      <c r="O41" s="3196"/>
    </row>
    <row r="42" spans="2:15" ht="57" customHeight="1">
      <c r="B42" s="1">
        <v>5</v>
      </c>
      <c r="C42" s="1">
        <v>5</v>
      </c>
      <c r="D42" s="908"/>
      <c r="E42" s="913"/>
      <c r="F42" s="953" t="str">
        <f>IF(F37=$S$15,$T$14,IF(ROUNDDOWN(F37,0)=$S$14,$U$14,$T$14))</f>
        <v>　レベル　5</v>
      </c>
      <c r="G42" s="3146" t="s">
        <v>1291</v>
      </c>
      <c r="H42" s="3147"/>
      <c r="I42" s="3146" t="s">
        <v>1292</v>
      </c>
      <c r="J42" s="3147"/>
      <c r="K42" s="1155" t="s">
        <v>2675</v>
      </c>
      <c r="L42" s="954" t="s">
        <v>918</v>
      </c>
      <c r="M42" s="953" t="str">
        <f>IF(M37=$S$15,$T$14,IF(ROUNDDOWN(M37,0)=$S$14,$U$14,$T$14))</f>
        <v>　レベル　5</v>
      </c>
      <c r="N42" s="3146" t="s">
        <v>1293</v>
      </c>
      <c r="O42" s="3147"/>
    </row>
    <row r="43" spans="2:15" ht="15.5">
      <c r="B43" s="960">
        <v>0</v>
      </c>
      <c r="C43" s="960">
        <v>0</v>
      </c>
      <c r="D43" s="908"/>
      <c r="E43" s="559"/>
      <c r="F43" s="1116"/>
      <c r="G43" s="995"/>
      <c r="H43" s="1062"/>
      <c r="I43" s="1062"/>
      <c r="J43" s="1062"/>
      <c r="K43" s="1116"/>
      <c r="L43" s="1116"/>
      <c r="M43" s="1116"/>
      <c r="N43" s="1116"/>
      <c r="O43" s="1116"/>
    </row>
    <row r="44" spans="2:15" ht="15.5">
      <c r="D44" s="908"/>
      <c r="E44" s="1059"/>
      <c r="F44" s="1084" t="s">
        <v>1294</v>
      </c>
      <c r="G44" s="996"/>
      <c r="H44" s="1045"/>
      <c r="I44" s="1025"/>
      <c r="J44" s="999" t="e">
        <f>IF(OR(F46=0,J45=0),$R$3,"")</f>
        <v>#DIV/0!</v>
      </c>
      <c r="K44" s="1025"/>
      <c r="L44" s="1025"/>
      <c r="M44" s="962"/>
      <c r="N44" s="962"/>
      <c r="O44" s="962"/>
    </row>
    <row r="45" spans="2:15" ht="15.75" customHeight="1" thickBot="1">
      <c r="D45" s="908"/>
      <c r="E45" s="1059"/>
      <c r="F45" s="1065" t="s">
        <v>1115</v>
      </c>
      <c r="G45" s="924"/>
      <c r="H45" s="925"/>
      <c r="I45" s="926" t="s">
        <v>1364</v>
      </c>
      <c r="J45" s="927" t="e">
        <f>重み!M71</f>
        <v>#DIV/0!</v>
      </c>
      <c r="K45" s="924"/>
      <c r="L45" s="925"/>
      <c r="M45" s="924"/>
      <c r="N45" s="1030"/>
      <c r="O45" s="962"/>
    </row>
    <row r="46" spans="2:15" ht="27" customHeight="1" thickBot="1">
      <c r="D46" s="908"/>
      <c r="E46" s="1059"/>
      <c r="F46" s="930">
        <v>3</v>
      </c>
      <c r="G46" s="1151" t="s">
        <v>1866</v>
      </c>
      <c r="H46" s="1071"/>
      <c r="I46" s="1071"/>
      <c r="J46" s="1051"/>
      <c r="K46" s="1151" t="s">
        <v>2676</v>
      </c>
      <c r="L46" s="1071"/>
      <c r="M46" s="1071"/>
      <c r="N46" s="1051"/>
      <c r="O46" s="962"/>
    </row>
    <row r="47" spans="2:15" ht="21" customHeight="1">
      <c r="B47" s="1" t="s">
        <v>1049</v>
      </c>
      <c r="C47" s="1">
        <v>1</v>
      </c>
      <c r="D47" s="908"/>
      <c r="E47" s="1156"/>
      <c r="F47" s="937" t="str">
        <f>IF(F46=$S$15,$T$10,IF(ROUNDDOWN(F46,0)=$S$10,$U$10,$T$10))</f>
        <v>　レベル　1</v>
      </c>
      <c r="G47" s="3144" t="s">
        <v>1833</v>
      </c>
      <c r="H47" s="3164"/>
      <c r="I47" s="3164"/>
      <c r="J47" s="3150"/>
      <c r="K47" s="3144" t="s">
        <v>359</v>
      </c>
      <c r="L47" s="3145"/>
      <c r="M47" s="3145"/>
      <c r="N47" s="3162"/>
      <c r="O47" s="962"/>
    </row>
    <row r="48" spans="2:15" ht="21" customHeight="1">
      <c r="B48" s="1">
        <v>2</v>
      </c>
      <c r="C48" s="1">
        <v>2</v>
      </c>
      <c r="D48" s="908"/>
      <c r="E48" s="1156"/>
      <c r="F48" s="942" t="str">
        <f>IF(F46=$S$15,$T$11,IF(ROUNDDOWN(F46,0)=$S$11,$U$11,$T$11))</f>
        <v>　レベル　2</v>
      </c>
      <c r="G48" s="3148" t="s">
        <v>25</v>
      </c>
      <c r="H48" s="3165"/>
      <c r="I48" s="3165"/>
      <c r="J48" s="3192"/>
      <c r="K48" s="3148" t="s">
        <v>28</v>
      </c>
      <c r="L48" s="3154"/>
      <c r="M48" s="3154"/>
      <c r="N48" s="3149"/>
      <c r="O48" s="962"/>
    </row>
    <row r="49" spans="2:15" ht="21" customHeight="1">
      <c r="B49" s="1">
        <v>3</v>
      </c>
      <c r="C49" s="1">
        <v>3</v>
      </c>
      <c r="D49" s="908"/>
      <c r="E49" s="1156"/>
      <c r="F49" s="942" t="str">
        <f>IF(F46=$S$15,$T$12,IF(ROUNDDOWN(F46,0)=$S$12,$U$12,$T$12))</f>
        <v>■レベル　3</v>
      </c>
      <c r="G49" s="3148" t="s">
        <v>374</v>
      </c>
      <c r="H49" s="3165"/>
      <c r="I49" s="3165"/>
      <c r="J49" s="3192"/>
      <c r="K49" s="3148" t="s">
        <v>1296</v>
      </c>
      <c r="L49" s="3154"/>
      <c r="M49" s="3154"/>
      <c r="N49" s="3149"/>
      <c r="O49" s="962"/>
    </row>
    <row r="50" spans="2:15" ht="21" customHeight="1">
      <c r="B50" s="1">
        <v>4</v>
      </c>
      <c r="C50" s="1">
        <v>4</v>
      </c>
      <c r="D50" s="908"/>
      <c r="E50" s="1156"/>
      <c r="F50" s="942" t="str">
        <f>IF(F46=$S$15,$T$13,IF(ROUNDDOWN(F46,0)=$S$13,$U$13,$T$13))</f>
        <v>　レベル　4</v>
      </c>
      <c r="G50" s="3148" t="s">
        <v>26</v>
      </c>
      <c r="H50" s="3165"/>
      <c r="I50" s="3165"/>
      <c r="J50" s="3192"/>
      <c r="K50" s="3148" t="s">
        <v>1297</v>
      </c>
      <c r="L50" s="3154"/>
      <c r="M50" s="3154"/>
      <c r="N50" s="3149"/>
      <c r="O50" s="962"/>
    </row>
    <row r="51" spans="2:15" ht="26.25" customHeight="1">
      <c r="B51" s="1">
        <v>5</v>
      </c>
      <c r="C51" s="1">
        <v>5</v>
      </c>
      <c r="D51" s="908"/>
      <c r="E51" s="1156"/>
      <c r="F51" s="953" t="str">
        <f>IF(F46=$S$15,$T$14,IF(ROUNDDOWN(F46,0)=$S$14,$U$14,$T$14))</f>
        <v>　レベル　5</v>
      </c>
      <c r="G51" s="3146" t="s">
        <v>27</v>
      </c>
      <c r="H51" s="3170"/>
      <c r="I51" s="3170"/>
      <c r="J51" s="3176"/>
      <c r="K51" s="3146" t="s">
        <v>1298</v>
      </c>
      <c r="L51" s="3153"/>
      <c r="M51" s="3153"/>
      <c r="N51" s="3147"/>
      <c r="O51" s="962"/>
    </row>
    <row r="52" spans="2:15" ht="15.5">
      <c r="B52" s="960">
        <v>0</v>
      </c>
      <c r="C52" s="960">
        <v>0</v>
      </c>
      <c r="D52" s="908"/>
      <c r="E52" s="559"/>
      <c r="F52" s="1060"/>
      <c r="G52" s="995"/>
      <c r="H52" s="995"/>
      <c r="I52" s="995"/>
      <c r="J52" s="995"/>
      <c r="K52" s="1116"/>
      <c r="L52" s="1116"/>
      <c r="M52" s="1116"/>
      <c r="N52" s="1116"/>
      <c r="O52" s="1116"/>
    </row>
    <row r="53" spans="2:15" ht="15.5">
      <c r="D53" s="908"/>
      <c r="E53" s="559"/>
      <c r="F53" s="1084" t="s">
        <v>2677</v>
      </c>
      <c r="G53" s="996"/>
      <c r="H53" s="1045"/>
      <c r="I53" s="1025"/>
      <c r="J53" s="999" t="e">
        <f>IF(OR(F55=0,AND(J54=0,O54=0)),$R$3,"")</f>
        <v>#DIV/0!</v>
      </c>
      <c r="K53" s="1084"/>
      <c r="L53" s="996"/>
      <c r="M53" s="1045"/>
      <c r="N53" s="1025"/>
      <c r="O53" s="999"/>
    </row>
    <row r="54" spans="2:15" ht="15.75" customHeight="1" thickBot="1">
      <c r="D54" s="908"/>
      <c r="E54" s="559"/>
      <c r="F54" s="923" t="s">
        <v>2827</v>
      </c>
      <c r="G54" s="924"/>
      <c r="H54" s="925"/>
      <c r="I54" s="926" t="s">
        <v>1364</v>
      </c>
      <c r="J54" s="929" t="e">
        <f>重み!M72</f>
        <v>#DIV/0!</v>
      </c>
      <c r="K54" s="923" t="s">
        <v>1968</v>
      </c>
      <c r="L54" s="924"/>
      <c r="M54" s="925"/>
      <c r="N54" s="926" t="s">
        <v>1364</v>
      </c>
      <c r="O54" s="929" t="e">
        <f>重み!N72</f>
        <v>#DIV/0!</v>
      </c>
    </row>
    <row r="55" spans="2:15" ht="27" customHeight="1" thickBot="1">
      <c r="D55" s="908"/>
      <c r="E55" s="559"/>
      <c r="F55" s="2051" t="e">
        <f>IF(J54=0,0,F63)</f>
        <v>#DIV/0!</v>
      </c>
      <c r="G55" s="1046" t="s">
        <v>1505</v>
      </c>
      <c r="H55" s="935"/>
      <c r="I55" s="935"/>
      <c r="J55" s="936"/>
      <c r="K55" s="2051" t="e">
        <f>IF(O54=0,0,K63)</f>
        <v>#DIV/0!</v>
      </c>
      <c r="L55" s="1046" t="s">
        <v>912</v>
      </c>
      <c r="M55" s="936"/>
      <c r="N55" s="1046"/>
      <c r="O55" s="1051"/>
    </row>
    <row r="56" spans="2:15" ht="21" customHeight="1">
      <c r="B56" s="1">
        <v>1</v>
      </c>
      <c r="C56" s="1">
        <v>1</v>
      </c>
      <c r="D56" s="908"/>
      <c r="E56" s="559"/>
      <c r="F56" s="937" t="e">
        <f>IF(F55=$S$15,$T$10,IF(ROUNDDOWN(F55,0)=$S$10,$U$10,$T$10))</f>
        <v>#DIV/0!</v>
      </c>
      <c r="G56" s="3144" t="s">
        <v>413</v>
      </c>
      <c r="H56" s="3164"/>
      <c r="I56" s="3164"/>
      <c r="J56" s="3150"/>
      <c r="K56" s="937" t="e">
        <f>IF(K55=$S$15,$T$10,IF(ROUNDDOWN(K55,0)=$S$10,$U$10,$T$10))</f>
        <v>#DIV/0!</v>
      </c>
      <c r="L56" s="3144" t="s">
        <v>413</v>
      </c>
      <c r="M56" s="3164"/>
      <c r="N56" s="3164"/>
      <c r="O56" s="3150"/>
    </row>
    <row r="57" spans="2:15" ht="21" customHeight="1">
      <c r="B57" s="1" t="s">
        <v>2177</v>
      </c>
      <c r="C57" s="1" t="s">
        <v>2177</v>
      </c>
      <c r="D57" s="908"/>
      <c r="E57" s="559"/>
      <c r="F57" s="942" t="e">
        <f>IF(F55=$S$15,$T$11,IF(ROUNDDOWN(F55,0)=$S$11,$U$11,$T$11))</f>
        <v>#DIV/0!</v>
      </c>
      <c r="G57" s="3148" t="s">
        <v>2178</v>
      </c>
      <c r="H57" s="3154"/>
      <c r="I57" s="3154"/>
      <c r="J57" s="3149"/>
      <c r="K57" s="942" t="e">
        <f>IF(K55=$S$15,$T$11,IF(ROUNDDOWN(K55,0)=$S$11,$U$11,$T$11))</f>
        <v>#DIV/0!</v>
      </c>
      <c r="L57" s="3182" t="s">
        <v>2178</v>
      </c>
      <c r="M57" s="3183"/>
      <c r="N57" s="3183"/>
      <c r="O57" s="3184"/>
    </row>
    <row r="58" spans="2:15" ht="21" customHeight="1">
      <c r="B58" s="1">
        <v>3</v>
      </c>
      <c r="C58" s="1">
        <v>3</v>
      </c>
      <c r="D58" s="908"/>
      <c r="E58" s="559"/>
      <c r="F58" s="942" t="e">
        <f>IF(F55=$S$15,$T$12,IF(ROUNDDOWN(F55,0)=$S$12,$U$12,$T$12))</f>
        <v>#DIV/0!</v>
      </c>
      <c r="G58" s="3148" t="s">
        <v>1299</v>
      </c>
      <c r="H58" s="3154"/>
      <c r="I58" s="3154"/>
      <c r="J58" s="3149"/>
      <c r="K58" s="942" t="e">
        <f>IF(K55=$S$15,$T$12,IF(ROUNDDOWN(K55,0)=$S$12,$U$12,$T$12))</f>
        <v>#DIV/0!</v>
      </c>
      <c r="L58" s="3182" t="s">
        <v>1299</v>
      </c>
      <c r="M58" s="3183"/>
      <c r="N58" s="3183"/>
      <c r="O58" s="3184"/>
    </row>
    <row r="59" spans="2:15" ht="21" customHeight="1">
      <c r="B59" s="1">
        <v>4</v>
      </c>
      <c r="C59" s="1">
        <v>4</v>
      </c>
      <c r="D59" s="908"/>
      <c r="E59" s="559"/>
      <c r="F59" s="942" t="e">
        <f>IF(F55=$S$15,$T$13,IF(ROUNDDOWN(F55,0)=$S$13,$U$13,$T$13))</f>
        <v>#DIV/0!</v>
      </c>
      <c r="G59" s="3148" t="s">
        <v>1300</v>
      </c>
      <c r="H59" s="3154"/>
      <c r="I59" s="3154"/>
      <c r="J59" s="3149"/>
      <c r="K59" s="942" t="e">
        <f>IF(K55=$S$15,$T$13,IF(ROUNDDOWN(K55,0)=$S$13,$U$13,$T$13))</f>
        <v>#DIV/0!</v>
      </c>
      <c r="L59" s="3182" t="s">
        <v>1300</v>
      </c>
      <c r="M59" s="3183"/>
      <c r="N59" s="3183"/>
      <c r="O59" s="3184"/>
    </row>
    <row r="60" spans="2:15" ht="21" customHeight="1" thickBot="1">
      <c r="B60" s="1">
        <v>5</v>
      </c>
      <c r="C60" s="1">
        <v>5</v>
      </c>
      <c r="D60" s="908"/>
      <c r="E60" s="559"/>
      <c r="F60" s="953" t="e">
        <f>IF(F55=$S$15,$T$14,IF(ROUNDDOWN(F55,0)=$S$14,$U$14,$T$14))</f>
        <v>#DIV/0!</v>
      </c>
      <c r="G60" s="3146" t="s">
        <v>1301</v>
      </c>
      <c r="H60" s="3296"/>
      <c r="I60" s="3153"/>
      <c r="J60" s="3147"/>
      <c r="K60" s="953" t="e">
        <f>IF(K55=$S$15,$T$14,IF(ROUNDDOWN(K55,0)=$S$14,$U$14,$T$14))</f>
        <v>#DIV/0!</v>
      </c>
      <c r="L60" s="3173" t="s">
        <v>1301</v>
      </c>
      <c r="M60" s="3193"/>
      <c r="N60" s="3193"/>
      <c r="O60" s="3194"/>
    </row>
    <row r="61" spans="2:15" ht="16" thickBot="1">
      <c r="B61" s="960">
        <v>0</v>
      </c>
      <c r="C61" s="960">
        <v>0</v>
      </c>
      <c r="D61" s="908"/>
      <c r="E61" s="559"/>
      <c r="F61" s="930">
        <v>0</v>
      </c>
      <c r="G61" s="1158" t="s">
        <v>2666</v>
      </c>
      <c r="H61" s="2777" t="s">
        <v>3339</v>
      </c>
      <c r="J61" s="1116"/>
      <c r="K61" s="930">
        <v>0</v>
      </c>
      <c r="L61" s="1158" t="s">
        <v>2666</v>
      </c>
      <c r="M61" s="2777" t="s">
        <v>3339</v>
      </c>
      <c r="N61" s="1036"/>
      <c r="O61" s="1036"/>
    </row>
    <row r="62" spans="2:15" ht="16" thickBot="1">
      <c r="D62" s="908"/>
      <c r="E62" s="908"/>
      <c r="F62" s="2834" t="s">
        <v>2678</v>
      </c>
      <c r="I62" s="1159"/>
      <c r="J62" s="1040"/>
      <c r="N62" s="1159"/>
      <c r="O62" s="1040"/>
    </row>
    <row r="63" spans="2:15" ht="20.25" customHeight="1" thickBot="1">
      <c r="D63" s="908"/>
      <c r="E63" s="908"/>
      <c r="F63" s="2056">
        <f>IF(H61=$T$4,F61,IF(G68&lt;2,1,IF(G68=2,3,IF(G68=3,4,IF(G68=4,5)))))</f>
        <v>3</v>
      </c>
      <c r="G63" s="589" t="s">
        <v>1599</v>
      </c>
      <c r="H63" s="1161"/>
      <c r="I63" s="1161"/>
      <c r="J63" s="1161"/>
      <c r="K63" s="2056">
        <f>IF(M61=$T$4,K61,IF(L68&lt;2,1,IF(L68=2,3,IF(L68=3,4,IF(L68=4,5)))))</f>
        <v>3</v>
      </c>
      <c r="L63" s="589" t="s">
        <v>1302</v>
      </c>
      <c r="M63" s="1161"/>
      <c r="N63" s="1161"/>
      <c r="O63" s="1162"/>
    </row>
    <row r="64" spans="2:15" ht="48.75" customHeight="1">
      <c r="D64" s="908"/>
      <c r="E64" s="559"/>
      <c r="F64" s="1024" t="s">
        <v>2671</v>
      </c>
      <c r="G64" s="3247" t="s">
        <v>2679</v>
      </c>
      <c r="H64" s="3248"/>
      <c r="I64" s="3248"/>
      <c r="J64" s="3249"/>
      <c r="K64" s="1024"/>
      <c r="L64" s="3247" t="s">
        <v>2680</v>
      </c>
      <c r="M64" s="3248"/>
      <c r="N64" s="3248"/>
      <c r="O64" s="3249"/>
    </row>
    <row r="65" spans="2:15" ht="65.25" customHeight="1">
      <c r="D65" s="908"/>
      <c r="E65" s="559"/>
      <c r="F65" s="1026" t="s">
        <v>2671</v>
      </c>
      <c r="G65" s="3247" t="s">
        <v>2012</v>
      </c>
      <c r="H65" s="3250"/>
      <c r="I65" s="3250"/>
      <c r="J65" s="3156"/>
      <c r="K65" s="1026"/>
      <c r="L65" s="3247" t="s">
        <v>2012</v>
      </c>
      <c r="M65" s="3250"/>
      <c r="N65" s="3250"/>
      <c r="O65" s="3156"/>
    </row>
    <row r="66" spans="2:15" ht="63" customHeight="1">
      <c r="D66" s="908"/>
      <c r="E66" s="559"/>
      <c r="F66" s="1026"/>
      <c r="G66" s="3247" t="s">
        <v>1321</v>
      </c>
      <c r="H66" s="3250"/>
      <c r="I66" s="3250"/>
      <c r="J66" s="3156"/>
      <c r="K66" s="1026" t="s">
        <v>2671</v>
      </c>
      <c r="L66" s="3247" t="s">
        <v>1321</v>
      </c>
      <c r="M66" s="3250"/>
      <c r="N66" s="3250"/>
      <c r="O66" s="3156"/>
    </row>
    <row r="67" spans="2:15" ht="41.25" customHeight="1" thickBot="1">
      <c r="D67" s="908"/>
      <c r="E67" s="559"/>
      <c r="F67" s="1033"/>
      <c r="G67" s="3247" t="s">
        <v>1303</v>
      </c>
      <c r="H67" s="3250"/>
      <c r="I67" s="3250"/>
      <c r="J67" s="3156"/>
      <c r="K67" s="1033" t="s">
        <v>2671</v>
      </c>
      <c r="L67" s="3247" t="s">
        <v>1303</v>
      </c>
      <c r="M67" s="3250"/>
      <c r="N67" s="3250"/>
      <c r="O67" s="3156"/>
    </row>
    <row r="68" spans="2:15" s="2687" customFormat="1" ht="15.5">
      <c r="D68" s="908"/>
      <c r="E68" s="559"/>
      <c r="F68" s="2842" t="s">
        <v>3362</v>
      </c>
      <c r="G68" s="2767">
        <f>COUNTIF(F64:F67,$S$3)</f>
        <v>2</v>
      </c>
      <c r="H68" s="2767"/>
      <c r="I68" s="2767"/>
      <c r="J68" s="2765"/>
      <c r="K68" s="2842" t="s">
        <v>3362</v>
      </c>
      <c r="L68" s="2767">
        <f>COUNTIF(K64:K67,$S$3)</f>
        <v>2</v>
      </c>
      <c r="M68" s="2767"/>
      <c r="N68" s="2767"/>
      <c r="O68" s="2766"/>
    </row>
    <row r="69" spans="2:15" ht="15.5">
      <c r="D69" s="908"/>
      <c r="E69" s="559"/>
      <c r="F69" s="1116"/>
      <c r="G69" s="995"/>
      <c r="H69" s="995"/>
      <c r="I69" s="995"/>
      <c r="J69" s="995"/>
      <c r="K69" s="1040"/>
      <c r="L69" s="1040"/>
      <c r="M69" s="962"/>
      <c r="N69" s="962"/>
      <c r="O69" s="962"/>
    </row>
    <row r="70" spans="2:15" ht="15.5">
      <c r="D70" s="1326">
        <v>1.3</v>
      </c>
      <c r="E70" s="1143" t="s">
        <v>1</v>
      </c>
      <c r="F70" s="1152"/>
      <c r="G70" s="1043"/>
      <c r="H70" s="1153"/>
      <c r="I70" s="1153"/>
      <c r="J70" s="1153"/>
      <c r="K70" s="1152"/>
      <c r="L70" s="1152"/>
      <c r="M70" s="1163"/>
      <c r="N70" s="1163"/>
      <c r="O70" s="1163"/>
    </row>
    <row r="71" spans="2:15" ht="15.5">
      <c r="D71" s="908"/>
      <c r="E71" s="559"/>
      <c r="F71" s="1084" t="s">
        <v>1322</v>
      </c>
      <c r="G71" s="996"/>
      <c r="H71" s="1045"/>
      <c r="I71" s="1025"/>
      <c r="J71" s="999" t="e">
        <f>IF(OR(F73=0,J72=0),$R$3,"")</f>
        <v>#DIV/0!</v>
      </c>
      <c r="K71" s="1163"/>
      <c r="L71" s="1043"/>
      <c r="M71" s="1163"/>
      <c r="N71" s="1163"/>
      <c r="O71" s="1163"/>
    </row>
    <row r="72" spans="2:15" ht="15.75" customHeight="1" thickBot="1">
      <c r="D72" s="1404"/>
      <c r="E72" s="1143"/>
      <c r="F72" s="1065" t="s">
        <v>1323</v>
      </c>
      <c r="G72" s="924"/>
      <c r="H72" s="925"/>
      <c r="I72" s="926" t="s">
        <v>1364</v>
      </c>
      <c r="J72" s="927" t="e">
        <f>重み!M75</f>
        <v>#DIV/0!</v>
      </c>
      <c r="K72" s="1066"/>
      <c r="L72" s="926" t="s">
        <v>1324</v>
      </c>
      <c r="M72" s="1164">
        <f>メイン!$J$66</f>
        <v>0</v>
      </c>
      <c r="N72" s="1165" t="s">
        <v>1325</v>
      </c>
      <c r="O72" s="1166"/>
    </row>
    <row r="73" spans="2:15" ht="27" customHeight="1" thickBot="1">
      <c r="B73" s="1167" t="s">
        <v>1326</v>
      </c>
      <c r="C73" t="e">
        <f>IF(J72=0,0,IF(AND(M72&lt;2000,I96=0),F106,F97))</f>
        <v>#DIV/0!</v>
      </c>
      <c r="D73" s="1404"/>
      <c r="E73" s="1143"/>
      <c r="F73" s="2051" t="e">
        <f>IF(J72=0,0,F81)</f>
        <v>#DIV/0!</v>
      </c>
      <c r="G73" s="1046" t="s">
        <v>122</v>
      </c>
      <c r="H73" s="935"/>
      <c r="I73" s="935"/>
      <c r="J73" s="936"/>
      <c r="K73" s="935"/>
      <c r="L73" s="935"/>
      <c r="M73" s="936"/>
      <c r="N73" s="1168" t="s">
        <v>123</v>
      </c>
      <c r="O73" s="1051"/>
    </row>
    <row r="74" spans="2:15" ht="21" customHeight="1">
      <c r="B74" s="1" t="s">
        <v>228</v>
      </c>
      <c r="C74" s="1">
        <v>1</v>
      </c>
      <c r="D74" s="908"/>
      <c r="E74" s="918"/>
      <c r="F74" s="937" t="e">
        <f>IF(F73=$S$15,$T$10,IF(ROUNDDOWN(F73,0)=$S$10,$U$10,$T$10))</f>
        <v>#DIV/0!</v>
      </c>
      <c r="G74" s="1170" t="s">
        <v>2178</v>
      </c>
      <c r="H74" s="1171"/>
      <c r="I74" s="1171"/>
      <c r="J74" s="1171"/>
      <c r="K74" s="1171"/>
      <c r="L74" s="1171"/>
      <c r="M74" s="1172"/>
      <c r="N74" s="3252"/>
      <c r="O74" s="3253"/>
    </row>
    <row r="75" spans="2:15" ht="21" customHeight="1">
      <c r="B75" s="1">
        <v>2</v>
      </c>
      <c r="C75" s="1">
        <v>2</v>
      </c>
      <c r="D75" s="908"/>
      <c r="E75" s="918"/>
      <c r="F75" s="942" t="e">
        <f>IF(F73=$S$15,$T$11,IF(ROUNDDOWN(F73,0)=$S$11,$U$11,$T$11))</f>
        <v>#DIV/0!</v>
      </c>
      <c r="G75" s="1173" t="s">
        <v>124</v>
      </c>
      <c r="H75" s="1174"/>
      <c r="I75" s="1174"/>
      <c r="J75" s="1174"/>
      <c r="K75" s="1174"/>
      <c r="L75" s="1174"/>
      <c r="M75" s="1175"/>
      <c r="N75" s="3254"/>
      <c r="O75" s="3253"/>
    </row>
    <row r="76" spans="2:15" ht="21" customHeight="1">
      <c r="B76" s="1">
        <v>3</v>
      </c>
      <c r="C76" s="1">
        <v>3</v>
      </c>
      <c r="D76" s="908"/>
      <c r="E76" s="918"/>
      <c r="F76" s="942" t="e">
        <f>IF(F73=$S$15,$T$12,IF(ROUNDDOWN(F73,0)=$S$12,$U$12,$T$12))</f>
        <v>#DIV/0!</v>
      </c>
      <c r="G76" s="1173" t="s">
        <v>125</v>
      </c>
      <c r="H76" s="1174"/>
      <c r="I76" s="1174"/>
      <c r="J76" s="1174"/>
      <c r="K76" s="1174"/>
      <c r="L76" s="1174"/>
      <c r="M76" s="1175"/>
      <c r="N76" s="3254"/>
      <c r="O76" s="3253"/>
    </row>
    <row r="77" spans="2:15" ht="21" customHeight="1">
      <c r="B77" s="1">
        <v>4</v>
      </c>
      <c r="C77" s="1">
        <v>4</v>
      </c>
      <c r="D77" s="908"/>
      <c r="E77" s="918"/>
      <c r="F77" s="942" t="e">
        <f>IF(F73=$S$15,$T$13,IF(ROUNDDOWN(F73,0)=$S$13,$U$13,$T$13))</f>
        <v>#DIV/0!</v>
      </c>
      <c r="G77" s="1173" t="s">
        <v>126</v>
      </c>
      <c r="H77" s="1174"/>
      <c r="I77" s="1174"/>
      <c r="J77" s="1174"/>
      <c r="K77" s="1174"/>
      <c r="L77" s="1174"/>
      <c r="M77" s="1175"/>
      <c r="N77" s="3254"/>
      <c r="O77" s="3253"/>
    </row>
    <row r="78" spans="2:15" ht="29.25" customHeight="1" thickBot="1">
      <c r="B78" s="1">
        <v>5</v>
      </c>
      <c r="C78" s="1">
        <v>5</v>
      </c>
      <c r="D78" s="908"/>
      <c r="E78" s="918"/>
      <c r="F78" s="953" t="e">
        <f>IF(F73=$S$15,$T$14,IF(ROUNDDOWN(F73,0)=$S$14,$U$14,$T$14))</f>
        <v>#DIV/0!</v>
      </c>
      <c r="G78" s="3146" t="s">
        <v>1747</v>
      </c>
      <c r="H78" s="3170"/>
      <c r="I78" s="3170"/>
      <c r="J78" s="3170"/>
      <c r="K78" s="3170"/>
      <c r="L78" s="3170"/>
      <c r="M78" s="3176"/>
      <c r="N78" s="3255"/>
      <c r="O78" s="3256"/>
    </row>
    <row r="79" spans="2:15" ht="16" thickBot="1">
      <c r="B79" s="960">
        <v>0</v>
      </c>
      <c r="C79" s="960">
        <v>0</v>
      </c>
      <c r="D79" s="908"/>
      <c r="E79" s="918"/>
      <c r="F79" s="930">
        <v>0</v>
      </c>
      <c r="G79" s="1158" t="s">
        <v>2666</v>
      </c>
      <c r="H79" s="2777" t="s">
        <v>3339</v>
      </c>
      <c r="J79" s="1180"/>
      <c r="K79" s="1180"/>
      <c r="L79" s="995"/>
      <c r="M79" s="995"/>
      <c r="N79" s="1163"/>
      <c r="O79" s="1163"/>
    </row>
    <row r="80" spans="2:15" ht="16" thickBot="1">
      <c r="B80" s="2687" t="s">
        <v>779</v>
      </c>
      <c r="D80" s="908"/>
      <c r="E80" s="908"/>
      <c r="F80" s="2834" t="s">
        <v>2678</v>
      </c>
      <c r="I80" s="1159"/>
      <c r="J80" s="1040"/>
      <c r="K80" s="1163"/>
      <c r="L80" s="1163"/>
      <c r="M80" s="1163"/>
      <c r="N80" s="1163"/>
      <c r="O80" s="1163"/>
    </row>
    <row r="81" spans="2:15" ht="16" thickBot="1">
      <c r="D81" s="908"/>
      <c r="E81" s="908"/>
      <c r="F81" s="2056">
        <f>IF(H79=$T$4,F79,IF(G94&lt;=2,2,IF(G94&lt;=5,3,IF(G94&lt;=8,4,5))))</f>
        <v>3</v>
      </c>
      <c r="G81" s="589" t="s">
        <v>1748</v>
      </c>
      <c r="H81" s="1161"/>
      <c r="I81" s="1161"/>
      <c r="J81" s="1161"/>
      <c r="K81" s="1161"/>
      <c r="L81" s="1161"/>
      <c r="M81" s="1161"/>
      <c r="N81" s="1161"/>
      <c r="O81" s="1181"/>
    </row>
    <row r="82" spans="2:15" ht="15.5">
      <c r="D82" s="908"/>
      <c r="E82" s="559"/>
      <c r="F82" s="1024" t="s">
        <v>2671</v>
      </c>
      <c r="G82" s="1182" t="s">
        <v>1304</v>
      </c>
      <c r="H82" s="1183"/>
      <c r="I82" s="1183"/>
      <c r="J82" s="1183"/>
      <c r="K82" s="1183"/>
      <c r="L82" s="1183"/>
      <c r="M82" s="1183"/>
      <c r="N82" s="1183"/>
      <c r="O82" s="1184"/>
    </row>
    <row r="83" spans="2:15" ht="15.5">
      <c r="D83" s="908"/>
      <c r="E83" s="559"/>
      <c r="F83" s="1026" t="s">
        <v>2671</v>
      </c>
      <c r="G83" s="1185" t="s">
        <v>1749</v>
      </c>
      <c r="H83" s="1186"/>
      <c r="I83" s="1186"/>
      <c r="J83" s="1186"/>
      <c r="K83" s="1186"/>
      <c r="L83" s="1186"/>
      <c r="M83" s="1186"/>
      <c r="N83" s="1186"/>
      <c r="O83" s="1187"/>
    </row>
    <row r="84" spans="2:15" ht="15.5">
      <c r="D84" s="908"/>
      <c r="E84" s="559"/>
      <c r="F84" s="1026" t="s">
        <v>2671</v>
      </c>
      <c r="G84" s="1185" t="s">
        <v>29</v>
      </c>
      <c r="H84" s="1186"/>
      <c r="I84" s="1186"/>
      <c r="J84" s="1186"/>
      <c r="K84" s="1186"/>
      <c r="L84" s="1186"/>
      <c r="M84" s="1186"/>
      <c r="N84" s="1186"/>
      <c r="O84" s="1187"/>
    </row>
    <row r="85" spans="2:15" ht="15.5">
      <c r="D85" s="908"/>
      <c r="E85" s="559"/>
      <c r="F85" s="1026"/>
      <c r="G85" s="1185" t="s">
        <v>1750</v>
      </c>
      <c r="H85" s="1186"/>
      <c r="I85" s="1186"/>
      <c r="J85" s="1186"/>
      <c r="K85" s="1186"/>
      <c r="L85" s="1186"/>
      <c r="M85" s="1186"/>
      <c r="N85" s="1186"/>
      <c r="O85" s="1187"/>
    </row>
    <row r="86" spans="2:15" ht="15.5">
      <c r="D86" s="908"/>
      <c r="E86" s="559"/>
      <c r="F86" s="1026"/>
      <c r="G86" s="1185" t="s">
        <v>1305</v>
      </c>
      <c r="H86" s="1186"/>
      <c r="I86" s="1186"/>
      <c r="J86" s="1186"/>
      <c r="K86" s="1186"/>
      <c r="L86" s="1186"/>
      <c r="M86" s="1186"/>
      <c r="N86" s="1186"/>
      <c r="O86" s="1187"/>
    </row>
    <row r="87" spans="2:15" ht="15.5">
      <c r="D87" s="908"/>
      <c r="E87" s="559"/>
      <c r="F87" s="1026"/>
      <c r="G87" s="1185" t="s">
        <v>1751</v>
      </c>
      <c r="H87" s="1186"/>
      <c r="I87" s="1186"/>
      <c r="J87" s="1186"/>
      <c r="K87" s="1186"/>
      <c r="L87" s="1186"/>
      <c r="M87" s="1186"/>
      <c r="N87" s="1186"/>
      <c r="O87" s="1187"/>
    </row>
    <row r="88" spans="2:15" ht="15.5">
      <c r="D88" s="908"/>
      <c r="E88" s="559"/>
      <c r="F88" s="1026"/>
      <c r="G88" s="1185" t="s">
        <v>1306</v>
      </c>
      <c r="H88" s="1186"/>
      <c r="I88" s="1186"/>
      <c r="J88" s="1186"/>
      <c r="K88" s="1186"/>
      <c r="L88" s="1186"/>
      <c r="M88" s="1186"/>
      <c r="N88" s="1186"/>
      <c r="O88" s="1187"/>
    </row>
    <row r="89" spans="2:15" ht="30.75" customHeight="1">
      <c r="D89" s="908"/>
      <c r="E89" s="559"/>
      <c r="F89" s="1026" t="s">
        <v>2671</v>
      </c>
      <c r="G89" s="3260" t="s">
        <v>1752</v>
      </c>
      <c r="H89" s="3165"/>
      <c r="I89" s="3165"/>
      <c r="J89" s="3165"/>
      <c r="K89" s="3165"/>
      <c r="L89" s="3165"/>
      <c r="M89" s="3165"/>
      <c r="N89" s="3165"/>
      <c r="O89" s="3192"/>
    </row>
    <row r="90" spans="2:15" ht="15.5">
      <c r="D90" s="908"/>
      <c r="E90" s="559"/>
      <c r="F90" s="1026"/>
      <c r="G90" s="1185" t="s">
        <v>1307</v>
      </c>
      <c r="H90" s="1186"/>
      <c r="I90" s="1186"/>
      <c r="J90" s="1186"/>
      <c r="K90" s="1186"/>
      <c r="L90" s="1186"/>
      <c r="M90" s="1186"/>
      <c r="N90" s="1186"/>
      <c r="O90" s="1187"/>
    </row>
    <row r="91" spans="2:15" ht="15.5">
      <c r="D91" s="908"/>
      <c r="E91" s="559"/>
      <c r="F91" s="1026"/>
      <c r="G91" s="1185" t="s">
        <v>1753</v>
      </c>
      <c r="H91" s="1186"/>
      <c r="I91" s="1186"/>
      <c r="J91" s="1186"/>
      <c r="K91" s="1186"/>
      <c r="L91" s="1186"/>
      <c r="M91" s="1186"/>
      <c r="N91" s="1186"/>
      <c r="O91" s="1187"/>
    </row>
    <row r="92" spans="2:15" ht="15.5">
      <c r="D92" s="908"/>
      <c r="E92" s="559"/>
      <c r="F92" s="1026" t="s">
        <v>2671</v>
      </c>
      <c r="G92" s="1185" t="s">
        <v>1754</v>
      </c>
      <c r="H92" s="1186"/>
      <c r="I92" s="1186"/>
      <c r="J92" s="1186"/>
      <c r="K92" s="1186"/>
      <c r="L92" s="1186"/>
      <c r="M92" s="1186"/>
      <c r="N92" s="1186"/>
      <c r="O92" s="1187"/>
    </row>
    <row r="93" spans="2:15" ht="16" thickBot="1">
      <c r="D93" s="908"/>
      <c r="E93" s="559"/>
      <c r="F93" s="1033"/>
      <c r="G93" s="1188" t="s">
        <v>1308</v>
      </c>
      <c r="H93" s="1189"/>
      <c r="I93" s="1189"/>
      <c r="J93" s="1189"/>
      <c r="K93" s="1189"/>
      <c r="L93" s="1189"/>
      <c r="M93" s="1189"/>
      <c r="N93" s="1189"/>
      <c r="O93" s="1190"/>
    </row>
    <row r="94" spans="2:15" ht="15.5">
      <c r="D94" s="908"/>
      <c r="E94" s="559"/>
      <c r="F94" s="2842" t="s">
        <v>3362</v>
      </c>
      <c r="G94" s="2767">
        <f>COUNTIF(F82:F93,$S$3)</f>
        <v>5</v>
      </c>
      <c r="H94" s="1192"/>
      <c r="I94" s="1192"/>
      <c r="J94" s="1193"/>
      <c r="K94" s="1194"/>
      <c r="L94" s="1194"/>
      <c r="M94" s="1194"/>
      <c r="N94" s="1193"/>
      <c r="O94" s="1195"/>
    </row>
    <row r="95" spans="2:15" ht="13.5" hidden="1" thickBot="1">
      <c r="B95" s="1114" t="s">
        <v>778</v>
      </c>
      <c r="F95" s="995" t="s">
        <v>2959</v>
      </c>
      <c r="G95" s="2393"/>
      <c r="H95" s="2393"/>
      <c r="I95" s="1707"/>
      <c r="J95" s="2385"/>
      <c r="K95" s="3317" t="s">
        <v>1864</v>
      </c>
      <c r="L95" s="3318"/>
      <c r="M95" s="3319"/>
      <c r="N95" s="995"/>
      <c r="O95" s="1163"/>
    </row>
    <row r="96" spans="2:15" ht="13.5" hidden="1" thickBot="1">
      <c r="F96" s="1160" t="e">
        <f>IF(#REF!=$T$4,F80,ROUND(IF(G104&lt;=2,1,IF(G104&lt;=5,2,IF(G104&lt;=8,3,IF(G104&lt;=11,4,IF(G104&gt;=12,5))))),0))</f>
        <v>#REF!</v>
      </c>
      <c r="G96" s="1161" t="s">
        <v>1755</v>
      </c>
      <c r="H96" s="1161"/>
      <c r="I96" s="589" t="s">
        <v>2960</v>
      </c>
      <c r="J96" s="1161"/>
      <c r="K96" s="1161"/>
      <c r="L96" s="1161"/>
      <c r="M96" s="1161"/>
      <c r="N96" s="1196" t="s">
        <v>1756</v>
      </c>
      <c r="O96" s="1163"/>
    </row>
    <row r="97" spans="6:15" hidden="1">
      <c r="F97" s="1197">
        <v>3</v>
      </c>
      <c r="G97" s="1171" t="s">
        <v>2961</v>
      </c>
      <c r="H97" s="1172"/>
      <c r="I97" s="1170" t="s">
        <v>2962</v>
      </c>
      <c r="J97" s="1171"/>
      <c r="K97" s="1171"/>
      <c r="L97" s="1171"/>
      <c r="M97" s="1171"/>
      <c r="N97" s="1198">
        <v>3</v>
      </c>
      <c r="O97" s="1163"/>
    </row>
    <row r="98" spans="6:15" hidden="1">
      <c r="F98" s="1199">
        <v>1</v>
      </c>
      <c r="G98" s="2389" t="s">
        <v>2963</v>
      </c>
      <c r="H98" s="2390"/>
      <c r="I98" s="1173" t="s">
        <v>2964</v>
      </c>
      <c r="J98" s="2389"/>
      <c r="K98" s="2389"/>
      <c r="L98" s="2389"/>
      <c r="M98" s="2389"/>
      <c r="N98" s="1200">
        <v>1</v>
      </c>
      <c r="O98" s="1163"/>
    </row>
    <row r="99" spans="6:15" hidden="1">
      <c r="F99" s="1199">
        <v>3</v>
      </c>
      <c r="G99" s="2389" t="s">
        <v>2965</v>
      </c>
      <c r="H99" s="2390"/>
      <c r="I99" s="1173" t="s">
        <v>2966</v>
      </c>
      <c r="J99" s="2389"/>
      <c r="K99" s="2389"/>
      <c r="L99" s="2389"/>
      <c r="M99" s="2389"/>
      <c r="N99" s="1200">
        <v>3</v>
      </c>
      <c r="O99" s="1163"/>
    </row>
    <row r="100" spans="6:15" hidden="1">
      <c r="F100" s="1199">
        <v>0</v>
      </c>
      <c r="G100" s="2389" t="s">
        <v>2967</v>
      </c>
      <c r="H100" s="2390"/>
      <c r="I100" s="1173" t="s">
        <v>2968</v>
      </c>
      <c r="J100" s="2389"/>
      <c r="K100" s="2389"/>
      <c r="L100" s="2389"/>
      <c r="M100" s="2389"/>
      <c r="N100" s="1200">
        <v>2</v>
      </c>
      <c r="O100" s="1163"/>
    </row>
    <row r="101" spans="6:15" hidden="1">
      <c r="F101" s="1199">
        <v>0</v>
      </c>
      <c r="G101" s="2389" t="s">
        <v>2969</v>
      </c>
      <c r="H101" s="2390"/>
      <c r="I101" s="1173" t="s">
        <v>2970</v>
      </c>
      <c r="J101" s="2389"/>
      <c r="K101" s="2389"/>
      <c r="L101" s="2389"/>
      <c r="M101" s="2389"/>
      <c r="N101" s="1200">
        <v>1</v>
      </c>
      <c r="O101" s="1163"/>
    </row>
    <row r="102" spans="6:15" hidden="1">
      <c r="F102" s="1199">
        <v>0</v>
      </c>
      <c r="G102" s="2389" t="s">
        <v>2971</v>
      </c>
      <c r="H102" s="2390"/>
      <c r="I102" s="1173" t="s">
        <v>2972</v>
      </c>
      <c r="J102" s="2389"/>
      <c r="K102" s="2389"/>
      <c r="L102" s="2389"/>
      <c r="M102" s="2389"/>
      <c r="N102" s="1200">
        <v>2</v>
      </c>
      <c r="O102" s="1163"/>
    </row>
    <row r="103" spans="6:15" ht="13.5" hidden="1" thickBot="1">
      <c r="F103" s="1201">
        <v>0</v>
      </c>
      <c r="G103" s="1177" t="s">
        <v>2973</v>
      </c>
      <c r="H103" s="1178"/>
      <c r="I103" s="1176" t="s">
        <v>2974</v>
      </c>
      <c r="J103" s="1177"/>
      <c r="K103" s="1177"/>
      <c r="L103" s="1177"/>
      <c r="M103" s="1177"/>
      <c r="N103" s="2392">
        <v>1</v>
      </c>
      <c r="O103" s="1163"/>
    </row>
    <row r="104" spans="6:15" ht="14" hidden="1">
      <c r="F104" s="1191" t="s">
        <v>2975</v>
      </c>
      <c r="G104" s="3251">
        <f>SUM(F97:F103)</f>
        <v>7</v>
      </c>
      <c r="H104" s="3251"/>
      <c r="I104" s="3251"/>
      <c r="J104" s="2391"/>
      <c r="K104" s="1194"/>
      <c r="L104" s="2391"/>
      <c r="M104" s="1194"/>
      <c r="N104" s="1203"/>
      <c r="O104" s="1163"/>
    </row>
    <row r="105" spans="6:15" ht="13.5" hidden="1" thickBot="1">
      <c r="F105" s="995" t="s">
        <v>2976</v>
      </c>
      <c r="G105" s="2385"/>
      <c r="H105" s="2385"/>
      <c r="I105" s="2385"/>
      <c r="J105" s="2385"/>
      <c r="K105" s="2385"/>
      <c r="L105" s="2385"/>
      <c r="M105" s="2385"/>
      <c r="N105" s="2385"/>
      <c r="O105" s="1163"/>
    </row>
    <row r="106" spans="6:15" ht="13.5" hidden="1" thickBot="1">
      <c r="F106" s="1160" t="e">
        <f>IF(#REF!=$T$4,F80,ROUND(IF(G113&lt;=2,1,IF(G113&lt;=5,2,IF(G113&lt;=8,3,IF(G113&lt;=11,4,IF(G113&gt;=12,5))))),0))</f>
        <v>#REF!</v>
      </c>
      <c r="G106" s="1161" t="s">
        <v>1755</v>
      </c>
      <c r="H106" s="1161"/>
      <c r="I106" s="589" t="s">
        <v>2960</v>
      </c>
      <c r="J106" s="1161"/>
      <c r="K106" s="1161"/>
      <c r="L106" s="1161"/>
      <c r="M106" s="1161"/>
      <c r="N106" s="1196" t="s">
        <v>1756</v>
      </c>
      <c r="O106" s="1163"/>
    </row>
    <row r="107" spans="6:15" hidden="1">
      <c r="F107" s="1204">
        <v>3</v>
      </c>
      <c r="G107" s="1171" t="s">
        <v>2977</v>
      </c>
      <c r="H107" s="1172"/>
      <c r="I107" s="1170" t="s">
        <v>2978</v>
      </c>
      <c r="J107" s="1171"/>
      <c r="K107" s="1171"/>
      <c r="L107" s="1171"/>
      <c r="M107" s="1171"/>
      <c r="N107" s="1198">
        <v>3</v>
      </c>
      <c r="O107" s="1163"/>
    </row>
    <row r="108" spans="6:15" hidden="1">
      <c r="F108" s="1205">
        <v>3</v>
      </c>
      <c r="G108" s="2389" t="s">
        <v>2979</v>
      </c>
      <c r="H108" s="2390"/>
      <c r="I108" s="1173" t="s">
        <v>2980</v>
      </c>
      <c r="J108" s="2389"/>
      <c r="K108" s="2389"/>
      <c r="L108" s="2389"/>
      <c r="M108" s="2389"/>
      <c r="N108" s="1200">
        <v>3</v>
      </c>
      <c r="O108" s="1163"/>
    </row>
    <row r="109" spans="6:15" hidden="1">
      <c r="F109" s="1205">
        <v>3</v>
      </c>
      <c r="G109" s="2389" t="s">
        <v>2981</v>
      </c>
      <c r="H109" s="2390"/>
      <c r="I109" s="1173" t="s">
        <v>2982</v>
      </c>
      <c r="J109" s="2389"/>
      <c r="K109" s="2389"/>
      <c r="L109" s="2389"/>
      <c r="M109" s="2389"/>
      <c r="N109" s="1200">
        <v>3</v>
      </c>
      <c r="O109" s="1163"/>
    </row>
    <row r="110" spans="6:15" hidden="1">
      <c r="F110" s="1205">
        <v>0</v>
      </c>
      <c r="G110" s="2389" t="s">
        <v>2983</v>
      </c>
      <c r="H110" s="2390"/>
      <c r="I110" s="1173" t="s">
        <v>2984</v>
      </c>
      <c r="J110" s="2389"/>
      <c r="K110" s="2389"/>
      <c r="L110" s="2389"/>
      <c r="M110" s="2389"/>
      <c r="N110" s="1200">
        <v>2</v>
      </c>
      <c r="O110" s="1163"/>
    </row>
    <row r="111" spans="6:15" hidden="1">
      <c r="F111" s="1205">
        <v>0</v>
      </c>
      <c r="G111" s="2389" t="s">
        <v>2985</v>
      </c>
      <c r="H111" s="2390"/>
      <c r="I111" s="1173" t="s">
        <v>2986</v>
      </c>
      <c r="J111" s="2389"/>
      <c r="K111" s="2389"/>
      <c r="L111" s="2389"/>
      <c r="M111" s="2389"/>
      <c r="N111" s="1200">
        <v>1</v>
      </c>
      <c r="O111" s="1163"/>
    </row>
    <row r="112" spans="6:15" ht="13.5" hidden="1" thickBot="1">
      <c r="F112" s="1206">
        <v>0</v>
      </c>
      <c r="G112" s="1177" t="s">
        <v>2987</v>
      </c>
      <c r="H112" s="2390"/>
      <c r="I112" s="1173" t="s">
        <v>2988</v>
      </c>
      <c r="J112" s="2389"/>
      <c r="K112" s="2389"/>
      <c r="L112" s="2389"/>
      <c r="M112" s="2389"/>
      <c r="N112" s="1200">
        <v>1</v>
      </c>
      <c r="O112" s="1163"/>
    </row>
    <row r="113" spans="2:15" ht="14" hidden="1">
      <c r="F113" s="1191" t="s">
        <v>2975</v>
      </c>
      <c r="G113" s="3251">
        <f>SUM(F107:F112)</f>
        <v>9</v>
      </c>
      <c r="H113" s="3251"/>
      <c r="I113" s="3251"/>
      <c r="J113" s="2391"/>
      <c r="K113" s="1194"/>
      <c r="L113" s="2391"/>
      <c r="M113" s="1194"/>
      <c r="N113" s="1203"/>
      <c r="O113" s="1163"/>
    </row>
    <row r="114" spans="2:15" ht="15.5">
      <c r="D114" s="908"/>
      <c r="E114" s="559"/>
      <c r="F114" s="962"/>
      <c r="G114" s="995"/>
      <c r="H114" s="995"/>
      <c r="I114" s="995"/>
      <c r="J114" s="995"/>
      <c r="K114" s="1040"/>
      <c r="L114" s="1040"/>
      <c r="M114" s="962"/>
      <c r="N114" s="1163"/>
      <c r="O114" s="1163"/>
    </row>
    <row r="115" spans="2:15" ht="15.5">
      <c r="D115" s="908"/>
      <c r="E115" s="559"/>
      <c r="F115" s="1084" t="s">
        <v>1796</v>
      </c>
      <c r="G115" s="996"/>
      <c r="H115" s="1045"/>
      <c r="I115" s="1025"/>
      <c r="J115" s="999" t="e">
        <f>IF(OR(F117=0,J116=0),$R$3,"")</f>
        <v>#DIV/0!</v>
      </c>
      <c r="K115" s="1163"/>
      <c r="L115" s="1043"/>
      <c r="M115" s="1163"/>
      <c r="N115" s="962"/>
      <c r="O115" s="962"/>
    </row>
    <row r="116" spans="2:15" ht="16" thickBot="1">
      <c r="D116" s="1404"/>
      <c r="E116" s="1143"/>
      <c r="F116" s="1065" t="s">
        <v>487</v>
      </c>
      <c r="G116" s="924"/>
      <c r="H116" s="925"/>
      <c r="I116" s="926" t="s">
        <v>1364</v>
      </c>
      <c r="J116" s="927" t="e">
        <f>重み!M76</f>
        <v>#DIV/0!</v>
      </c>
      <c r="K116" s="1066"/>
      <c r="L116" s="926" t="s">
        <v>1324</v>
      </c>
      <c r="M116" s="1164">
        <f>メイン!$J$66</f>
        <v>0</v>
      </c>
      <c r="N116" s="1165" t="s">
        <v>1325</v>
      </c>
      <c r="O116" s="1166"/>
    </row>
    <row r="117" spans="2:15" ht="27" customHeight="1" thickBot="1">
      <c r="B117" s="1167" t="s">
        <v>1326</v>
      </c>
      <c r="E117" s="1143"/>
      <c r="F117" s="2051" t="e">
        <f>IF(J116=0,0,F125)</f>
        <v>#DIV/0!</v>
      </c>
      <c r="G117" s="1046" t="s">
        <v>1797</v>
      </c>
      <c r="H117" s="935"/>
      <c r="I117" s="935"/>
      <c r="J117" s="936"/>
      <c r="K117" s="935"/>
      <c r="L117" s="935"/>
      <c r="M117" s="936"/>
      <c r="N117" s="1168" t="s">
        <v>123</v>
      </c>
      <c r="O117" s="1051"/>
    </row>
    <row r="118" spans="2:15" ht="21" customHeight="1">
      <c r="B118" s="1" t="s">
        <v>228</v>
      </c>
      <c r="C118" s="1">
        <v>1</v>
      </c>
      <c r="E118" s="918"/>
      <c r="F118" s="937" t="e">
        <f>IF(F117=$S$15,$T$10,IF(ROUNDDOWN(F117,0)=$S$10,$U$10,$T$10))</f>
        <v>#DIV/0!</v>
      </c>
      <c r="G118" s="946" t="s">
        <v>1311</v>
      </c>
      <c r="H118" s="1171"/>
      <c r="I118" s="1171"/>
      <c r="J118" s="1171"/>
      <c r="K118" s="1171"/>
      <c r="L118" s="1171"/>
      <c r="M118" s="1172"/>
      <c r="N118" s="3252" t="s">
        <v>3363</v>
      </c>
      <c r="O118" s="3253"/>
    </row>
    <row r="119" spans="2:15" ht="27.75" customHeight="1">
      <c r="B119" s="1">
        <v>2</v>
      </c>
      <c r="C119" s="1">
        <v>2</v>
      </c>
      <c r="E119" s="918"/>
      <c r="F119" s="942" t="e">
        <f>IF(F117=$S$15,$T$11,IF(ROUNDDOWN(F117,0)=$S$11,$U$11,$T$11))</f>
        <v>#DIV/0!</v>
      </c>
      <c r="G119" s="946" t="s">
        <v>1885</v>
      </c>
      <c r="H119" s="1174"/>
      <c r="I119" s="1174"/>
      <c r="J119" s="1174"/>
      <c r="K119" s="1174"/>
      <c r="L119" s="1174"/>
      <c r="M119" s="1175"/>
      <c r="N119" s="3254"/>
      <c r="O119" s="3253"/>
    </row>
    <row r="120" spans="2:15" ht="27.75" customHeight="1">
      <c r="B120" s="1">
        <v>3</v>
      </c>
      <c r="C120" s="1">
        <v>3</v>
      </c>
      <c r="E120" s="918"/>
      <c r="F120" s="942" t="e">
        <f>IF(F117=$S$15,$T$12,IF(ROUNDDOWN(F117,0)=$S$12,$U$12,$T$12))</f>
        <v>#DIV/0!</v>
      </c>
      <c r="G120" s="946" t="s">
        <v>1886</v>
      </c>
      <c r="H120" s="1174"/>
      <c r="I120" s="1174"/>
      <c r="J120" s="1174"/>
      <c r="K120" s="1174"/>
      <c r="L120" s="1174"/>
      <c r="M120" s="1175"/>
      <c r="N120" s="3254"/>
      <c r="O120" s="3253"/>
    </row>
    <row r="121" spans="2:15" ht="27.75" customHeight="1">
      <c r="B121" s="1">
        <v>4</v>
      </c>
      <c r="C121" s="1">
        <v>4</v>
      </c>
      <c r="E121" s="918"/>
      <c r="F121" s="942" t="e">
        <f>IF(F117=$S$15,$T$13,IF(ROUNDDOWN(F117,0)=$S$13,$U$13,$T$13))</f>
        <v>#DIV/0!</v>
      </c>
      <c r="G121" s="3148" t="s">
        <v>1887</v>
      </c>
      <c r="H121" s="3165"/>
      <c r="I121" s="3165"/>
      <c r="J121" s="3165"/>
      <c r="K121" s="3165"/>
      <c r="L121" s="3165"/>
      <c r="M121" s="3192"/>
      <c r="N121" s="3254"/>
      <c r="O121" s="3253"/>
    </row>
    <row r="122" spans="2:15" ht="27.75" customHeight="1" thickBot="1">
      <c r="B122" s="1">
        <v>5</v>
      </c>
      <c r="C122" s="1">
        <v>5</v>
      </c>
      <c r="E122" s="918"/>
      <c r="F122" s="953" t="e">
        <f>IF(F117=$S$15,$T$14,IF(ROUNDDOWN(F117,0)=$S$14,$U$14,$T$14))</f>
        <v>#DIV/0!</v>
      </c>
      <c r="G122" s="3146" t="s">
        <v>1888</v>
      </c>
      <c r="H122" s="3170"/>
      <c r="I122" s="3170"/>
      <c r="J122" s="3170"/>
      <c r="K122" s="3170"/>
      <c r="L122" s="3170"/>
      <c r="M122" s="3176"/>
      <c r="N122" s="3255"/>
      <c r="O122" s="3256"/>
    </row>
    <row r="123" spans="2:15" ht="16" thickBot="1">
      <c r="B123" s="960">
        <v>0</v>
      </c>
      <c r="C123" s="960">
        <v>0</v>
      </c>
      <c r="E123" s="918"/>
      <c r="F123" s="930">
        <v>0</v>
      </c>
      <c r="G123" s="1158" t="s">
        <v>2666</v>
      </c>
      <c r="H123" s="2777" t="s">
        <v>3339</v>
      </c>
      <c r="I123" s="1179"/>
      <c r="J123" s="1180"/>
      <c r="K123" s="1180"/>
      <c r="L123" s="995"/>
      <c r="M123" s="995"/>
      <c r="N123" s="995"/>
      <c r="O123" s="995"/>
    </row>
    <row r="124" spans="2:15" ht="16" thickBot="1">
      <c r="B124" t="s">
        <v>779</v>
      </c>
      <c r="D124" s="908"/>
      <c r="E124" s="908"/>
      <c r="F124" s="2834" t="s">
        <v>2678</v>
      </c>
      <c r="I124" s="1159"/>
      <c r="K124" s="1163"/>
      <c r="L124" s="1163"/>
      <c r="M124" s="1163"/>
      <c r="N124" s="1163"/>
      <c r="O124" s="962"/>
    </row>
    <row r="125" spans="2:15" ht="27" customHeight="1" thickBot="1">
      <c r="D125" s="908"/>
      <c r="E125" s="908"/>
      <c r="F125" s="2051">
        <f>IF(H123=$T$4,F123,IF(G139&lt;=3,2,IF(G139&lt;=6,3,IF(G139&lt;=9,4,5))))</f>
        <v>3</v>
      </c>
      <c r="G125" s="589" t="s">
        <v>1312</v>
      </c>
      <c r="H125" s="1161"/>
      <c r="I125" s="1161"/>
      <c r="J125" s="1161"/>
      <c r="K125" s="1161"/>
      <c r="L125" s="589" t="s">
        <v>2597</v>
      </c>
      <c r="M125" s="1161"/>
      <c r="N125" s="1161"/>
      <c r="O125" s="1181"/>
    </row>
    <row r="126" spans="2:15" ht="27.75" customHeight="1">
      <c r="D126" s="908"/>
      <c r="E126" s="559"/>
      <c r="F126" s="2875"/>
      <c r="G126" s="1207" t="s">
        <v>1889</v>
      </c>
      <c r="H126" s="1208"/>
      <c r="I126" s="1208"/>
      <c r="J126" s="1208"/>
      <c r="K126" s="1208"/>
      <c r="L126" s="3166" t="s">
        <v>2598</v>
      </c>
      <c r="M126" s="3154"/>
      <c r="N126" s="3154"/>
      <c r="O126" s="3316"/>
    </row>
    <row r="127" spans="2:15" ht="27.75" customHeight="1">
      <c r="D127" s="908"/>
      <c r="E127" s="559"/>
      <c r="F127" s="1026" t="s">
        <v>2671</v>
      </c>
      <c r="G127" s="3233" t="s">
        <v>1890</v>
      </c>
      <c r="H127" s="3299"/>
      <c r="I127" s="3299"/>
      <c r="J127" s="3299"/>
      <c r="K127" s="3300"/>
      <c r="L127" s="3166" t="s">
        <v>2599</v>
      </c>
      <c r="M127" s="3154"/>
      <c r="N127" s="3154"/>
      <c r="O127" s="3149"/>
    </row>
    <row r="128" spans="2:15" ht="49.5" customHeight="1">
      <c r="D128" s="908"/>
      <c r="E128" s="559"/>
      <c r="F128" s="1026" t="s">
        <v>2671</v>
      </c>
      <c r="G128" s="3233" t="s">
        <v>2600</v>
      </c>
      <c r="H128" s="3266"/>
      <c r="I128" s="3266"/>
      <c r="J128" s="3266"/>
      <c r="K128" s="3267"/>
      <c r="L128" s="3166" t="s">
        <v>30</v>
      </c>
      <c r="M128" s="3154"/>
      <c r="N128" s="3154"/>
      <c r="O128" s="3149"/>
    </row>
    <row r="129" spans="2:15" ht="27.75" customHeight="1">
      <c r="D129" s="908"/>
      <c r="E129" s="559"/>
      <c r="F129" s="1026" t="s">
        <v>2671</v>
      </c>
      <c r="G129" s="1207" t="s">
        <v>2601</v>
      </c>
      <c r="H129" s="1208"/>
      <c r="I129" s="1208"/>
      <c r="J129" s="1208"/>
      <c r="K129" s="1208"/>
      <c r="L129" s="3166" t="s">
        <v>2602</v>
      </c>
      <c r="M129" s="3154"/>
      <c r="N129" s="3154"/>
      <c r="O129" s="3149"/>
    </row>
    <row r="130" spans="2:15" ht="27.75" customHeight="1">
      <c r="D130" s="908"/>
      <c r="E130" s="559"/>
      <c r="F130" s="1026" t="s">
        <v>2671</v>
      </c>
      <c r="G130" s="3233" t="s">
        <v>1758</v>
      </c>
      <c r="H130" s="3183"/>
      <c r="I130" s="3183"/>
      <c r="J130" s="3183"/>
      <c r="K130" s="3184"/>
      <c r="L130" s="3166" t="s">
        <v>1759</v>
      </c>
      <c r="M130" s="3154"/>
      <c r="N130" s="3154"/>
      <c r="O130" s="3149"/>
    </row>
    <row r="131" spans="2:15" ht="27.75" customHeight="1">
      <c r="D131" s="908"/>
      <c r="E131" s="559"/>
      <c r="F131" s="1026"/>
      <c r="G131" s="1207" t="s">
        <v>2603</v>
      </c>
      <c r="H131" s="1208"/>
      <c r="I131" s="1208"/>
      <c r="J131" s="1208"/>
      <c r="K131" s="1208"/>
      <c r="L131" s="3166" t="s">
        <v>1776</v>
      </c>
      <c r="M131" s="3154"/>
      <c r="N131" s="3154"/>
      <c r="O131" s="3149"/>
    </row>
    <row r="132" spans="2:15" ht="27.75" customHeight="1">
      <c r="D132" s="908"/>
      <c r="E132" s="559"/>
      <c r="F132" s="1026"/>
      <c r="G132" s="3233" t="s">
        <v>712</v>
      </c>
      <c r="H132" s="3183"/>
      <c r="I132" s="3183"/>
      <c r="J132" s="3183"/>
      <c r="K132" s="3184"/>
      <c r="L132" s="3166" t="s">
        <v>713</v>
      </c>
      <c r="M132" s="3154"/>
      <c r="N132" s="3154"/>
      <c r="O132" s="3149"/>
    </row>
    <row r="133" spans="2:15" ht="27.75" customHeight="1">
      <c r="D133" s="908"/>
      <c r="E133" s="559"/>
      <c r="F133" s="1026"/>
      <c r="G133" s="3233" t="s">
        <v>2604</v>
      </c>
      <c r="H133" s="3183"/>
      <c r="I133" s="3183"/>
      <c r="J133" s="3183"/>
      <c r="K133" s="3184"/>
      <c r="L133" s="3166" t="s">
        <v>507</v>
      </c>
      <c r="M133" s="3154"/>
      <c r="N133" s="3154"/>
      <c r="O133" s="3149"/>
    </row>
    <row r="134" spans="2:15" ht="27.75" customHeight="1">
      <c r="D134" s="908"/>
      <c r="E134" s="559"/>
      <c r="F134" s="1026"/>
      <c r="G134" s="1207" t="s">
        <v>508</v>
      </c>
      <c r="H134" s="1208"/>
      <c r="I134" s="1208"/>
      <c r="J134" s="1208"/>
      <c r="K134" s="1208"/>
      <c r="L134" s="3166" t="s">
        <v>714</v>
      </c>
      <c r="M134" s="3154"/>
      <c r="N134" s="3154"/>
      <c r="O134" s="3149"/>
    </row>
    <row r="135" spans="2:15" ht="27.75" customHeight="1">
      <c r="D135" s="908"/>
      <c r="E135" s="559"/>
      <c r="F135" s="1026"/>
      <c r="G135" s="3233" t="s">
        <v>509</v>
      </c>
      <c r="H135" s="3266"/>
      <c r="I135" s="3266"/>
      <c r="J135" s="3266"/>
      <c r="K135" s="3267"/>
      <c r="L135" s="3166" t="s">
        <v>132</v>
      </c>
      <c r="M135" s="3154"/>
      <c r="N135" s="3154"/>
      <c r="O135" s="3149"/>
    </row>
    <row r="136" spans="2:15" ht="27.75" customHeight="1">
      <c r="D136" s="908"/>
      <c r="E136" s="559"/>
      <c r="F136" s="1026"/>
      <c r="G136" s="1207" t="s">
        <v>133</v>
      </c>
      <c r="H136" s="1208"/>
      <c r="I136" s="1208"/>
      <c r="J136" s="1208"/>
      <c r="K136" s="1208"/>
      <c r="L136" s="3166" t="s">
        <v>1631</v>
      </c>
      <c r="M136" s="3154"/>
      <c r="N136" s="3154"/>
      <c r="O136" s="3149"/>
    </row>
    <row r="137" spans="2:15" ht="27.75" customHeight="1">
      <c r="D137" s="908"/>
      <c r="E137" s="559"/>
      <c r="F137" s="1026"/>
      <c r="G137" s="1207" t="s">
        <v>1632</v>
      </c>
      <c r="H137" s="1208"/>
      <c r="I137" s="1208"/>
      <c r="J137" s="1208"/>
      <c r="K137" s="1208"/>
      <c r="L137" s="3166" t="s">
        <v>1633</v>
      </c>
      <c r="M137" s="3154"/>
      <c r="N137" s="3154"/>
      <c r="O137" s="3149"/>
    </row>
    <row r="138" spans="2:15" ht="27.75" customHeight="1" thickBot="1">
      <c r="D138" s="908"/>
      <c r="E138" s="559"/>
      <c r="F138" s="1033"/>
      <c r="G138" s="3268" t="s">
        <v>1634</v>
      </c>
      <c r="H138" s="3269"/>
      <c r="I138" s="3269"/>
      <c r="J138" s="3269"/>
      <c r="K138" s="3270"/>
      <c r="L138" s="3166" t="s">
        <v>1635</v>
      </c>
      <c r="M138" s="3154"/>
      <c r="N138" s="3154"/>
      <c r="O138" s="3149"/>
    </row>
    <row r="139" spans="2:15" ht="15.5">
      <c r="D139" s="908"/>
      <c r="E139" s="559"/>
      <c r="F139" s="2842" t="s">
        <v>39</v>
      </c>
      <c r="G139" s="2767">
        <f>COUNTIF(F126:F138,$S$3)</f>
        <v>4</v>
      </c>
      <c r="H139" s="1209"/>
      <c r="I139" s="1209"/>
      <c r="J139" s="1193"/>
      <c r="K139" s="1193"/>
      <c r="L139" s="1193"/>
      <c r="M139" s="1193"/>
      <c r="N139" s="1194"/>
      <c r="O139" s="1203"/>
    </row>
    <row r="140" spans="2:15" hidden="1">
      <c r="F140" s="1163"/>
      <c r="G140" s="1163"/>
      <c r="H140" s="1163"/>
      <c r="I140" s="1163"/>
      <c r="J140" s="1163"/>
      <c r="K140" s="1163"/>
      <c r="L140" s="1163"/>
      <c r="M140" s="1163"/>
      <c r="N140" s="1163"/>
      <c r="O140" s="1163"/>
    </row>
    <row r="141" spans="2:15" hidden="1">
      <c r="B141" s="1210" t="s">
        <v>715</v>
      </c>
      <c r="F141" s="1157" t="s">
        <v>2678</v>
      </c>
      <c r="G141" s="995"/>
      <c r="H141" s="1179"/>
      <c r="I141" s="1180"/>
      <c r="J141" s="1180"/>
      <c r="K141" s="995"/>
      <c r="L141" s="1163"/>
      <c r="M141" s="1163"/>
      <c r="N141" s="995"/>
      <c r="O141" s="1163"/>
    </row>
    <row r="142" spans="2:15" hidden="1">
      <c r="F142" s="1211" t="s">
        <v>1636</v>
      </c>
      <c r="G142" s="3241" t="s">
        <v>716</v>
      </c>
      <c r="H142" s="3242"/>
      <c r="I142" s="3243" t="s">
        <v>717</v>
      </c>
      <c r="J142" s="3243"/>
      <c r="K142" s="3243"/>
      <c r="L142" s="3243"/>
      <c r="M142" s="3243"/>
      <c r="N142" s="995"/>
      <c r="O142" s="1163"/>
    </row>
    <row r="143" spans="2:15" hidden="1">
      <c r="F143" s="1211" t="s">
        <v>1637</v>
      </c>
      <c r="G143" s="3241" t="s">
        <v>2040</v>
      </c>
      <c r="H143" s="3242"/>
      <c r="I143" s="3243" t="s">
        <v>692</v>
      </c>
      <c r="J143" s="3243"/>
      <c r="K143" s="3243"/>
      <c r="L143" s="3243"/>
      <c r="M143" s="3243"/>
      <c r="N143" s="995"/>
      <c r="O143" s="1163"/>
    </row>
    <row r="144" spans="2:15" ht="13.5" hidden="1" thickBot="1">
      <c r="F144" s="1211" t="s">
        <v>1638</v>
      </c>
      <c r="G144" s="3241" t="s">
        <v>693</v>
      </c>
      <c r="H144" s="3242"/>
      <c r="I144" s="3243" t="s">
        <v>694</v>
      </c>
      <c r="J144" s="3243"/>
      <c r="K144" s="3243"/>
      <c r="L144" s="3243"/>
      <c r="M144" s="3243"/>
      <c r="N144" s="995"/>
      <c r="O144" s="1163"/>
    </row>
    <row r="145" spans="2:15" ht="13.5" hidden="1" thickBot="1">
      <c r="B145" s="1114" t="s">
        <v>778</v>
      </c>
      <c r="F145" s="995" t="s">
        <v>2959</v>
      </c>
      <c r="G145" s="2393"/>
      <c r="H145" s="2393"/>
      <c r="I145" s="3317" t="s">
        <v>1864</v>
      </c>
      <c r="J145" s="3318"/>
      <c r="K145" s="3319"/>
      <c r="L145" s="1180" t="s">
        <v>2989</v>
      </c>
      <c r="M145" s="1180"/>
      <c r="N145" s="995"/>
      <c r="O145" s="2393"/>
    </row>
    <row r="146" spans="2:15" ht="13.5" hidden="1" thickBot="1">
      <c r="F146" s="1160">
        <f>IF(H125=$T$4,F125,ROUND(IF(G158&lt;=1,2,IF(G158&lt;=4,3,IF(G158&lt;=8,4,IF(G158&gt;=9,5)))),0))</f>
        <v>3</v>
      </c>
      <c r="G146" s="589" t="s">
        <v>1755</v>
      </c>
      <c r="H146" s="589" t="s">
        <v>2990</v>
      </c>
      <c r="I146" s="1161"/>
      <c r="J146" s="1161"/>
      <c r="K146" s="1221" t="s">
        <v>1756</v>
      </c>
      <c r="L146" s="589" t="s">
        <v>2990</v>
      </c>
      <c r="M146" s="1161"/>
      <c r="N146" s="1161"/>
      <c r="O146" s="1088" t="s">
        <v>1756</v>
      </c>
    </row>
    <row r="147" spans="2:15" hidden="1">
      <c r="F147" s="1204">
        <v>1</v>
      </c>
      <c r="G147" s="589" t="s">
        <v>377</v>
      </c>
      <c r="H147" s="3146" t="s">
        <v>2991</v>
      </c>
      <c r="I147" s="3236"/>
      <c r="J147" s="3237"/>
      <c r="K147" s="1221">
        <v>1</v>
      </c>
      <c r="L147" s="3146" t="s">
        <v>2992</v>
      </c>
      <c r="M147" s="3236"/>
      <c r="N147" s="3237"/>
      <c r="O147" s="2394">
        <v>1</v>
      </c>
    </row>
    <row r="148" spans="2:15" hidden="1">
      <c r="F148" s="1205">
        <v>3</v>
      </c>
      <c r="G148" s="1212" t="s">
        <v>378</v>
      </c>
      <c r="H148" s="3238" t="s">
        <v>2993</v>
      </c>
      <c r="I148" s="3234"/>
      <c r="J148" s="3235"/>
      <c r="K148" s="1200">
        <v>3</v>
      </c>
      <c r="L148" s="3148" t="s">
        <v>2994</v>
      </c>
      <c r="M148" s="3234"/>
      <c r="N148" s="3235"/>
      <c r="O148" s="1319" t="s">
        <v>2994</v>
      </c>
    </row>
    <row r="149" spans="2:15" hidden="1">
      <c r="F149" s="1205">
        <v>0</v>
      </c>
      <c r="G149" s="1213"/>
      <c r="H149" s="3148" t="s">
        <v>2995</v>
      </c>
      <c r="I149" s="3234"/>
      <c r="J149" s="3235"/>
      <c r="K149" s="1200">
        <v>3</v>
      </c>
      <c r="L149" s="3148" t="s">
        <v>2994</v>
      </c>
      <c r="M149" s="3234"/>
      <c r="N149" s="3235"/>
      <c r="O149" s="1200" t="s">
        <v>2994</v>
      </c>
    </row>
    <row r="150" spans="2:15" hidden="1">
      <c r="F150" s="1205">
        <v>2</v>
      </c>
      <c r="G150" s="1213"/>
      <c r="H150" s="3148" t="s">
        <v>2994</v>
      </c>
      <c r="I150" s="3234"/>
      <c r="J150" s="3235"/>
      <c r="K150" s="1200" t="s">
        <v>2994</v>
      </c>
      <c r="L150" s="3148" t="s">
        <v>2996</v>
      </c>
      <c r="M150" s="3234"/>
      <c r="N150" s="3235"/>
      <c r="O150" s="1200">
        <v>2</v>
      </c>
    </row>
    <row r="151" spans="2:15" hidden="1">
      <c r="F151" s="1205">
        <v>0</v>
      </c>
      <c r="G151" s="1214"/>
      <c r="H151" s="3146" t="s">
        <v>2994</v>
      </c>
      <c r="I151" s="3236"/>
      <c r="J151" s="3237"/>
      <c r="K151" s="1221" t="s">
        <v>2994</v>
      </c>
      <c r="L151" s="3146" t="s">
        <v>2997</v>
      </c>
      <c r="M151" s="3236"/>
      <c r="N151" s="3237"/>
      <c r="O151" s="1221">
        <v>1</v>
      </c>
    </row>
    <row r="152" spans="2:15" hidden="1">
      <c r="F152" s="1205">
        <v>0</v>
      </c>
      <c r="G152" s="1212" t="s">
        <v>379</v>
      </c>
      <c r="H152" s="3144" t="s">
        <v>2998</v>
      </c>
      <c r="I152" s="3239"/>
      <c r="J152" s="3240"/>
      <c r="K152" s="1319">
        <v>1</v>
      </c>
      <c r="L152" s="3144" t="s">
        <v>2999</v>
      </c>
      <c r="M152" s="3239"/>
      <c r="N152" s="3240"/>
      <c r="O152" s="1319">
        <v>1</v>
      </c>
    </row>
    <row r="153" spans="2:15" hidden="1">
      <c r="F153" s="1205">
        <v>0</v>
      </c>
      <c r="G153" s="1213"/>
      <c r="H153" s="3148" t="s">
        <v>3000</v>
      </c>
      <c r="I153" s="3234"/>
      <c r="J153" s="3235"/>
      <c r="K153" s="1200">
        <v>2</v>
      </c>
      <c r="L153" s="3148" t="s">
        <v>3001</v>
      </c>
      <c r="M153" s="3234"/>
      <c r="N153" s="3235"/>
      <c r="O153" s="1200">
        <v>2</v>
      </c>
    </row>
    <row r="154" spans="2:15" hidden="1">
      <c r="F154" s="1205">
        <v>1</v>
      </c>
      <c r="G154" s="1214"/>
      <c r="H154" s="3146" t="s">
        <v>2994</v>
      </c>
      <c r="I154" s="3236"/>
      <c r="J154" s="3237"/>
      <c r="K154" s="1221">
        <v>1</v>
      </c>
      <c r="L154" s="3146" t="s">
        <v>3002</v>
      </c>
      <c r="M154" s="3236"/>
      <c r="N154" s="3237"/>
      <c r="O154" s="1221">
        <v>1</v>
      </c>
    </row>
    <row r="155" spans="2:15" hidden="1">
      <c r="F155" s="1205">
        <v>0</v>
      </c>
      <c r="G155" s="1212" t="s">
        <v>1757</v>
      </c>
      <c r="H155" s="3144" t="s">
        <v>583</v>
      </c>
      <c r="I155" s="3239"/>
      <c r="J155" s="3240"/>
      <c r="K155" s="1319">
        <v>1</v>
      </c>
      <c r="L155" s="3144" t="s">
        <v>3003</v>
      </c>
      <c r="M155" s="3239"/>
      <c r="N155" s="3240"/>
      <c r="O155" s="1319">
        <v>1</v>
      </c>
    </row>
    <row r="156" spans="2:15" hidden="1">
      <c r="F156" s="1205">
        <v>0</v>
      </c>
      <c r="G156" s="1214"/>
      <c r="H156" s="3146" t="s">
        <v>2994</v>
      </c>
      <c r="I156" s="3236"/>
      <c r="J156" s="3237"/>
      <c r="K156" s="1221">
        <v>1</v>
      </c>
      <c r="L156" s="3146" t="s">
        <v>3004</v>
      </c>
      <c r="M156" s="3236"/>
      <c r="N156" s="3237"/>
      <c r="O156" s="1221">
        <v>1</v>
      </c>
    </row>
    <row r="157" spans="2:15" ht="13.5" hidden="1" thickBot="1">
      <c r="F157" s="1206">
        <v>0</v>
      </c>
      <c r="G157" s="589" t="s">
        <v>584</v>
      </c>
      <c r="H157" s="3146" t="s">
        <v>585</v>
      </c>
      <c r="I157" s="3236"/>
      <c r="J157" s="3237"/>
      <c r="K157" s="2392">
        <v>2</v>
      </c>
      <c r="L157" s="3146" t="s">
        <v>3005</v>
      </c>
      <c r="M157" s="3236"/>
      <c r="N157" s="3237"/>
      <c r="O157" s="2395">
        <v>2</v>
      </c>
    </row>
    <row r="158" spans="2:15" ht="14" hidden="1">
      <c r="F158" s="2768" t="s">
        <v>3006</v>
      </c>
      <c r="G158" s="1209">
        <f>IF($I$145=$V$4,SUM(F147:F149,F152:F153,F155,F157),SUM(F147,F150:F157))</f>
        <v>4</v>
      </c>
      <c r="H158" s="2826" t="s">
        <v>3342</v>
      </c>
      <c r="I158" s="2387"/>
      <c r="J158" s="2391"/>
      <c r="K158" s="1203"/>
      <c r="L158" s="1194"/>
      <c r="M158" s="2391"/>
      <c r="N158" s="1194"/>
      <c r="O158" s="1203"/>
    </row>
    <row r="159" spans="2:15" hidden="1">
      <c r="F159" s="1115" t="s">
        <v>489</v>
      </c>
      <c r="G159" s="1116"/>
      <c r="H159" s="1116"/>
      <c r="I159" s="1116"/>
      <c r="J159" s="1116"/>
      <c r="K159" s="1116"/>
      <c r="L159" s="1116"/>
      <c r="M159" s="1116"/>
      <c r="N159" s="1116"/>
      <c r="O159" s="1163"/>
    </row>
    <row r="160" spans="2:15" hidden="1">
      <c r="F160" s="1117" t="s">
        <v>2848</v>
      </c>
      <c r="G160" s="1118"/>
      <c r="H160" s="1117" t="s">
        <v>586</v>
      </c>
      <c r="I160" s="1118"/>
      <c r="J160" s="1118"/>
      <c r="K160" s="1118"/>
      <c r="L160" s="1118"/>
      <c r="M160" s="1118"/>
      <c r="N160" s="1119"/>
      <c r="O160" s="1163"/>
    </row>
    <row r="161" spans="2:15" hidden="1">
      <c r="F161" s="1117" t="s">
        <v>3007</v>
      </c>
      <c r="G161" s="1118"/>
      <c r="H161" s="1117" t="s">
        <v>3008</v>
      </c>
      <c r="I161" s="1118"/>
      <c r="J161" s="1118"/>
      <c r="K161" s="1118"/>
      <c r="L161" s="1118"/>
      <c r="M161" s="1118"/>
      <c r="N161" s="1119"/>
      <c r="O161" s="1163"/>
    </row>
    <row r="162" spans="2:15" hidden="1">
      <c r="F162" s="2396" t="s">
        <v>587</v>
      </c>
      <c r="G162" s="2397"/>
      <c r="H162" s="3320" t="s">
        <v>3009</v>
      </c>
      <c r="I162" s="3321"/>
      <c r="J162" s="3241" t="s">
        <v>3010</v>
      </c>
      <c r="K162" s="3322"/>
      <c r="L162" s="3322"/>
      <c r="M162" s="3322"/>
      <c r="N162" s="3242"/>
      <c r="O162" s="1163"/>
    </row>
    <row r="163" spans="2:15" hidden="1">
      <c r="F163" s="2398"/>
      <c r="G163" s="2399"/>
      <c r="H163" s="3241" t="s">
        <v>3011</v>
      </c>
      <c r="I163" s="3242"/>
      <c r="J163" s="3241" t="s">
        <v>3012</v>
      </c>
      <c r="K163" s="3323"/>
      <c r="L163" s="3323"/>
      <c r="M163" s="3323"/>
      <c r="N163" s="3324"/>
      <c r="O163" s="1163"/>
    </row>
    <row r="164" spans="2:15" hidden="1">
      <c r="F164" s="1117" t="s">
        <v>588</v>
      </c>
      <c r="G164" s="1118"/>
      <c r="H164" s="2400" t="s">
        <v>3013</v>
      </c>
      <c r="I164" s="1117"/>
      <c r="J164" s="1118"/>
      <c r="K164" s="1118"/>
      <c r="L164" s="1118"/>
      <c r="M164" s="1118"/>
      <c r="N164" s="1119"/>
      <c r="O164" s="1163"/>
    </row>
    <row r="165" spans="2:15" hidden="1">
      <c r="F165" s="1117" t="s">
        <v>589</v>
      </c>
      <c r="G165" s="1118"/>
      <c r="H165" s="2400" t="s">
        <v>3014</v>
      </c>
      <c r="I165" s="1117"/>
      <c r="J165" s="1118"/>
      <c r="K165" s="1118"/>
      <c r="L165" s="1118"/>
      <c r="M165" s="1118"/>
      <c r="N165" s="1119"/>
      <c r="O165" s="1163"/>
    </row>
    <row r="166" spans="2:15" s="2385" customFormat="1" hidden="1">
      <c r="D166" s="2277"/>
      <c r="E166" s="132"/>
      <c r="F166" s="1117" t="s">
        <v>590</v>
      </c>
      <c r="G166" s="2401"/>
      <c r="H166" s="3241" t="s">
        <v>3015</v>
      </c>
      <c r="I166" s="3322"/>
      <c r="J166" s="3322"/>
      <c r="K166" s="3322"/>
      <c r="L166" s="3322"/>
      <c r="M166" s="3322"/>
      <c r="N166" s="3242"/>
      <c r="O166" s="1163"/>
    </row>
    <row r="167" spans="2:15" ht="15.5">
      <c r="D167" s="908"/>
      <c r="E167" s="559"/>
      <c r="F167" s="1116"/>
      <c r="G167" s="995"/>
      <c r="H167" s="995"/>
      <c r="I167" s="995"/>
      <c r="J167" s="995"/>
      <c r="K167" s="1040"/>
      <c r="L167" s="1040"/>
      <c r="M167" s="962"/>
      <c r="N167" s="962"/>
      <c r="O167" s="962"/>
    </row>
    <row r="168" spans="2:15" ht="15.5">
      <c r="B168" s="1114" t="s">
        <v>778</v>
      </c>
      <c r="D168" s="908"/>
      <c r="E168" s="559"/>
      <c r="F168" s="1084" t="s">
        <v>591</v>
      </c>
      <c r="G168" s="996"/>
      <c r="H168" s="1045"/>
      <c r="I168" s="1025"/>
      <c r="J168" s="999" t="e">
        <f>IF(OR(F170=0,J169=0),$R$3,"")</f>
        <v>#DIV/0!</v>
      </c>
      <c r="K168" s="1163"/>
      <c r="L168" s="1163"/>
      <c r="M168" s="1163"/>
      <c r="N168" s="962"/>
      <c r="O168" s="962"/>
    </row>
    <row r="169" spans="2:15" ht="16" hidden="1" thickBot="1">
      <c r="D169" s="908"/>
      <c r="E169" s="559"/>
      <c r="F169" s="1065"/>
      <c r="G169" s="924"/>
      <c r="H169" s="2402"/>
      <c r="I169" s="926" t="s">
        <v>1364</v>
      </c>
      <c r="J169" s="927" t="e">
        <f>重み!M77</f>
        <v>#DIV/0!</v>
      </c>
      <c r="K169" s="1066"/>
      <c r="L169" s="926" t="s">
        <v>1324</v>
      </c>
      <c r="M169" s="1164">
        <f>メイン!$J$66</f>
        <v>0</v>
      </c>
      <c r="N169" s="2403"/>
      <c r="O169" s="2404"/>
    </row>
    <row r="170" spans="2:15" ht="16" hidden="1" thickBot="1">
      <c r="D170" s="1404"/>
      <c r="E170" s="1143"/>
      <c r="F170" s="2051" t="e">
        <f>IF(J169=0,0,F178)</f>
        <v>#DIV/0!</v>
      </c>
      <c r="G170" s="1046" t="s">
        <v>923</v>
      </c>
      <c r="H170" s="935"/>
      <c r="I170" s="935"/>
      <c r="J170" s="936"/>
      <c r="K170" s="935"/>
      <c r="L170" s="935"/>
      <c r="M170" s="935"/>
      <c r="N170" s="1168" t="s">
        <v>1325</v>
      </c>
      <c r="O170" s="1051"/>
    </row>
    <row r="171" spans="2:15" ht="15.5" hidden="1">
      <c r="D171" s="908"/>
      <c r="E171" s="918"/>
      <c r="F171" s="937" t="e">
        <f>IF(F170=$S$15,$T$10,IF(ROUNDDOWN(F170,0)=$S$10,$U$10,$T$10))</f>
        <v>#DIV/0!</v>
      </c>
      <c r="G171" s="1170" t="s">
        <v>3016</v>
      </c>
      <c r="H171" s="1171"/>
      <c r="I171" s="1171"/>
      <c r="J171" s="1171"/>
      <c r="K171" s="1171"/>
      <c r="L171" s="1171"/>
      <c r="M171" s="1171"/>
      <c r="N171" s="3252" t="s">
        <v>3017</v>
      </c>
      <c r="O171" s="3286"/>
    </row>
    <row r="172" spans="2:15" ht="15.5" hidden="1">
      <c r="D172" s="908"/>
      <c r="E172" s="918"/>
      <c r="F172" s="942" t="e">
        <f>IF(F170=$S$15,$T$11,IF(ROUNDDOWN(F170,0)=$S$11,$U$11,$T$11))</f>
        <v>#DIV/0!</v>
      </c>
      <c r="G172" s="2388" t="s">
        <v>3018</v>
      </c>
      <c r="H172" s="2389"/>
      <c r="I172" s="2389"/>
      <c r="J172" s="2389"/>
      <c r="K172" s="2389"/>
      <c r="L172" s="2389"/>
      <c r="M172" s="2389"/>
      <c r="N172" s="3287"/>
      <c r="O172" s="3286"/>
    </row>
    <row r="173" spans="2:15" ht="15.5" hidden="1">
      <c r="D173" s="908"/>
      <c r="E173" s="918"/>
      <c r="F173" s="942" t="e">
        <f>IF(F170=$S$15,$T$12,IF(ROUNDDOWN(F170,0)=$S$12,$U$12,$T$12))</f>
        <v>#DIV/0!</v>
      </c>
      <c r="G173" s="2388" t="s">
        <v>924</v>
      </c>
      <c r="H173" s="2389"/>
      <c r="I173" s="2389"/>
      <c r="J173" s="2389"/>
      <c r="K173" s="2389"/>
      <c r="L173" s="2389"/>
      <c r="M173" s="2389"/>
      <c r="N173" s="3287"/>
      <c r="O173" s="3286"/>
    </row>
    <row r="174" spans="2:15" ht="15.5" hidden="1">
      <c r="D174" s="908"/>
      <c r="E174" s="918"/>
      <c r="F174" s="942" t="e">
        <f>IF(F170=$S$15,$T$13,IF(ROUNDDOWN(F170,0)=$S$13,$U$13,$T$13))</f>
        <v>#DIV/0!</v>
      </c>
      <c r="G174" s="1173" t="s">
        <v>925</v>
      </c>
      <c r="H174" s="2389"/>
      <c r="I174" s="2389"/>
      <c r="J174" s="2389"/>
      <c r="K174" s="2389"/>
      <c r="L174" s="2389"/>
      <c r="M174" s="2389"/>
      <c r="N174" s="3287"/>
      <c r="O174" s="3286"/>
    </row>
    <row r="175" spans="2:15" ht="16" hidden="1" thickBot="1">
      <c r="D175" s="908"/>
      <c r="E175" s="918"/>
      <c r="F175" s="953" t="e">
        <f>IF(F170=$S$15,$T$14,IF(ROUNDDOWN(F170,0)=$S$14,$U$14,$T$14))</f>
        <v>#DIV/0!</v>
      </c>
      <c r="G175" s="1176" t="s">
        <v>926</v>
      </c>
      <c r="H175" s="1177"/>
      <c r="I175" s="1177"/>
      <c r="J175" s="1177"/>
      <c r="K175" s="1177"/>
      <c r="L175" s="1177"/>
      <c r="M175" s="1177"/>
      <c r="N175" s="3288"/>
      <c r="O175" s="3289"/>
    </row>
    <row r="176" spans="2:15" ht="16" hidden="1" thickBot="1">
      <c r="D176" s="908"/>
      <c r="E176" s="918"/>
      <c r="F176" s="930">
        <v>0</v>
      </c>
      <c r="G176" s="1158" t="s">
        <v>2666</v>
      </c>
      <c r="H176" s="2777" t="s">
        <v>3339</v>
      </c>
      <c r="I176" s="1116"/>
      <c r="J176" s="1215"/>
      <c r="K176" s="1215"/>
      <c r="L176" s="1215"/>
      <c r="M176" s="1215"/>
      <c r="N176" s="1215"/>
      <c r="O176" s="1215"/>
    </row>
    <row r="177" spans="2:15" ht="16" hidden="1" thickBot="1">
      <c r="D177" s="908"/>
      <c r="E177" s="918"/>
      <c r="F177" s="1157" t="s">
        <v>2678</v>
      </c>
      <c r="J177" s="1216"/>
      <c r="K177" s="1217"/>
      <c r="L177" s="1216"/>
      <c r="M177" s="1216"/>
      <c r="N177" s="1159"/>
      <c r="O177" s="1217"/>
    </row>
    <row r="178" spans="2:15" ht="16" hidden="1" thickBot="1">
      <c r="B178" s="1">
        <v>1</v>
      </c>
      <c r="C178" s="1">
        <v>1</v>
      </c>
      <c r="D178" s="908"/>
      <c r="E178" s="918"/>
      <c r="F178" s="2056">
        <f>IF(H176=$T$4,F176,IF(SUM(F179,F182,F185)&lt;0,2,ROUND((IF(G188=0,3,IF(G188&lt;=2,4,5))),0)))</f>
        <v>3</v>
      </c>
      <c r="G178" s="1161" t="s">
        <v>1755</v>
      </c>
      <c r="H178" s="1161"/>
      <c r="I178" s="589" t="s">
        <v>376</v>
      </c>
      <c r="J178" s="1161"/>
      <c r="K178" s="1161"/>
      <c r="L178" s="589" t="s">
        <v>1310</v>
      </c>
      <c r="M178" s="1161"/>
      <c r="N178" s="1161"/>
      <c r="O178" s="1196" t="s">
        <v>1639</v>
      </c>
    </row>
    <row r="179" spans="2:15" ht="15.5" hidden="1">
      <c r="B179" s="1">
        <v>2</v>
      </c>
      <c r="C179" s="1">
        <v>2</v>
      </c>
      <c r="D179" s="908"/>
      <c r="E179" s="918"/>
      <c r="F179" s="1218">
        <v>0</v>
      </c>
      <c r="G179" s="3290" t="s">
        <v>927</v>
      </c>
      <c r="H179" s="3291"/>
      <c r="I179" s="3144" t="s">
        <v>928</v>
      </c>
      <c r="J179" s="3239"/>
      <c r="K179" s="3240"/>
      <c r="L179" s="3144" t="s">
        <v>1640</v>
      </c>
      <c r="M179" s="3239"/>
      <c r="N179" s="3240"/>
      <c r="O179" s="1219" t="s">
        <v>1641</v>
      </c>
    </row>
    <row r="180" spans="2:15" ht="15.5" hidden="1">
      <c r="B180" s="1">
        <v>3</v>
      </c>
      <c r="C180" s="1">
        <v>3</v>
      </c>
      <c r="D180" s="908"/>
      <c r="E180" s="918"/>
      <c r="F180" s="3297">
        <v>0</v>
      </c>
      <c r="G180" s="3292"/>
      <c r="H180" s="3293"/>
      <c r="I180" s="3148" t="s">
        <v>929</v>
      </c>
      <c r="J180" s="3234"/>
      <c r="K180" s="3235"/>
      <c r="L180" s="3148" t="s">
        <v>275</v>
      </c>
      <c r="M180" s="3234"/>
      <c r="N180" s="3235"/>
      <c r="O180" s="1220">
        <v>0</v>
      </c>
    </row>
    <row r="181" spans="2:15" ht="15.5" hidden="1">
      <c r="B181" s="1">
        <v>4</v>
      </c>
      <c r="C181" s="1">
        <v>4</v>
      </c>
      <c r="D181" s="908"/>
      <c r="E181" s="918"/>
      <c r="F181" s="3298"/>
      <c r="G181" s="3294"/>
      <c r="H181" s="3295"/>
      <c r="I181" s="3146" t="s">
        <v>930</v>
      </c>
      <c r="J181" s="3236"/>
      <c r="K181" s="3237"/>
      <c r="L181" s="3146" t="s">
        <v>276</v>
      </c>
      <c r="M181" s="3236"/>
      <c r="N181" s="3237"/>
      <c r="O181" s="1221">
        <v>1</v>
      </c>
    </row>
    <row r="182" spans="2:15" ht="15.5" hidden="1">
      <c r="B182" s="1">
        <v>5</v>
      </c>
      <c r="C182" s="1">
        <v>5</v>
      </c>
      <c r="D182" s="908"/>
      <c r="E182" s="918"/>
      <c r="F182" s="1222">
        <v>0</v>
      </c>
      <c r="G182" s="3290" t="s">
        <v>931</v>
      </c>
      <c r="H182" s="3291"/>
      <c r="I182" s="3144" t="s">
        <v>932</v>
      </c>
      <c r="J182" s="3239"/>
      <c r="K182" s="3240"/>
      <c r="L182" s="3144" t="s">
        <v>277</v>
      </c>
      <c r="M182" s="3239"/>
      <c r="N182" s="3240"/>
      <c r="O182" s="1219" t="s">
        <v>1641</v>
      </c>
    </row>
    <row r="183" spans="2:15" ht="15.5" hidden="1">
      <c r="B183" s="960">
        <v>0</v>
      </c>
      <c r="C183" s="960">
        <v>0</v>
      </c>
      <c r="D183" s="908"/>
      <c r="E183" s="918"/>
      <c r="F183" s="3297">
        <v>0</v>
      </c>
      <c r="G183" s="3292"/>
      <c r="H183" s="3293"/>
      <c r="I183" s="3148" t="s">
        <v>3019</v>
      </c>
      <c r="J183" s="3234"/>
      <c r="K183" s="3235"/>
      <c r="L183" s="3148" t="s">
        <v>2890</v>
      </c>
      <c r="M183" s="3234"/>
      <c r="N183" s="3235"/>
      <c r="O183" s="1220">
        <v>0</v>
      </c>
    </row>
    <row r="184" spans="2:15" ht="15.5" hidden="1">
      <c r="D184" s="908"/>
      <c r="E184" s="918"/>
      <c r="F184" s="3298"/>
      <c r="G184" s="3294"/>
      <c r="H184" s="3295"/>
      <c r="I184" s="3146" t="s">
        <v>930</v>
      </c>
      <c r="J184" s="3236"/>
      <c r="K184" s="3237"/>
      <c r="L184" s="3146" t="s">
        <v>2891</v>
      </c>
      <c r="M184" s="3236"/>
      <c r="N184" s="3237"/>
      <c r="O184" s="1221">
        <v>1</v>
      </c>
    </row>
    <row r="185" spans="2:15" ht="15.5" hidden="1">
      <c r="D185" s="908"/>
      <c r="E185" s="918"/>
      <c r="F185" s="1222">
        <v>0</v>
      </c>
      <c r="G185" s="3302" t="s">
        <v>355</v>
      </c>
      <c r="H185" s="3303"/>
      <c r="I185" s="3144" t="s">
        <v>356</v>
      </c>
      <c r="J185" s="3239"/>
      <c r="K185" s="3240"/>
      <c r="L185" s="3144" t="s">
        <v>2892</v>
      </c>
      <c r="M185" s="3239"/>
      <c r="N185" s="3240"/>
      <c r="O185" s="1219" t="s">
        <v>1641</v>
      </c>
    </row>
    <row r="186" spans="2:15" ht="15.5" hidden="1">
      <c r="D186" s="908"/>
      <c r="E186" s="918"/>
      <c r="F186" s="3297">
        <v>0</v>
      </c>
      <c r="G186" s="3304"/>
      <c r="H186" s="3286"/>
      <c r="I186" s="3148" t="s">
        <v>357</v>
      </c>
      <c r="J186" s="3234"/>
      <c r="K186" s="3235"/>
      <c r="L186" s="3148" t="s">
        <v>2893</v>
      </c>
      <c r="M186" s="3234"/>
      <c r="N186" s="3235"/>
      <c r="O186" s="1200">
        <v>0</v>
      </c>
    </row>
    <row r="187" spans="2:15" ht="16" hidden="1" thickBot="1">
      <c r="D187" s="908"/>
      <c r="E187" s="918"/>
      <c r="F187" s="3301"/>
      <c r="G187" s="3305"/>
      <c r="H187" s="3289"/>
      <c r="I187" s="3146" t="s">
        <v>930</v>
      </c>
      <c r="J187" s="3236"/>
      <c r="K187" s="3237"/>
      <c r="L187" s="3146" t="s">
        <v>2894</v>
      </c>
      <c r="M187" s="3236"/>
      <c r="N187" s="3237"/>
      <c r="O187" s="2392">
        <v>1</v>
      </c>
    </row>
    <row r="188" spans="2:15" ht="15.5" hidden="1">
      <c r="D188" s="908"/>
      <c r="E188" s="918"/>
      <c r="F188" s="2768" t="s">
        <v>141</v>
      </c>
      <c r="G188" s="1209">
        <f>SUM(F179:F187)</f>
        <v>0</v>
      </c>
      <c r="H188" s="2826" t="s">
        <v>3364</v>
      </c>
      <c r="I188" s="2387"/>
      <c r="J188" s="2391"/>
      <c r="K188" s="2391"/>
      <c r="L188" s="1194"/>
      <c r="M188" s="2391"/>
      <c r="N188" s="1194"/>
      <c r="O188" s="1203"/>
    </row>
    <row r="189" spans="2:15" ht="15.5">
      <c r="D189" s="908"/>
      <c r="E189" s="918"/>
      <c r="F189" s="1116"/>
      <c r="G189" s="1223"/>
      <c r="H189" s="995"/>
      <c r="I189" s="1179"/>
      <c r="J189" s="1180"/>
      <c r="K189" s="1180"/>
      <c r="L189" s="995"/>
      <c r="M189" s="995"/>
      <c r="N189" s="995"/>
      <c r="O189" s="995"/>
    </row>
    <row r="190" spans="2:15" ht="15.5">
      <c r="D190" s="1326">
        <v>2</v>
      </c>
      <c r="E190" s="1143" t="s">
        <v>358</v>
      </c>
      <c r="F190" s="1152"/>
      <c r="G190" s="1153"/>
      <c r="H190" s="1153"/>
      <c r="I190" s="1153"/>
      <c r="J190" s="1153"/>
      <c r="K190" s="1152"/>
      <c r="L190" s="1152"/>
      <c r="M190" s="1152"/>
      <c r="N190" s="1152"/>
      <c r="O190" s="1152"/>
    </row>
    <row r="191" spans="2:15" ht="15.5">
      <c r="D191" s="1326">
        <v>2.1</v>
      </c>
      <c r="E191" s="1152" t="s">
        <v>3245</v>
      </c>
      <c r="F191" s="1152"/>
      <c r="G191" s="1043"/>
      <c r="H191" s="1153"/>
      <c r="I191" s="1163"/>
      <c r="J191" s="1153"/>
      <c r="K191" s="1152"/>
      <c r="L191" s="1224"/>
      <c r="M191" s="1152"/>
      <c r="N191" s="1152"/>
      <c r="O191" s="1152"/>
    </row>
    <row r="192" spans="2:15" ht="15.5">
      <c r="D192" s="908"/>
      <c r="E192" s="913"/>
      <c r="F192" s="1084" t="s">
        <v>3246</v>
      </c>
      <c r="G192" s="996"/>
      <c r="H192" s="1045"/>
      <c r="I192" s="1025"/>
      <c r="J192" s="999" t="e">
        <f>IF(OR(F194=0,J193=0),$R$3,"")</f>
        <v>#DIV/0!</v>
      </c>
      <c r="K192" s="1084" t="s">
        <v>3397</v>
      </c>
      <c r="L192" s="996"/>
      <c r="M192" s="1045"/>
      <c r="N192" s="1025"/>
      <c r="O192" s="999" t="e">
        <f>IF(OR(K194=0,O193=0),$R$3,"")</f>
        <v>#DIV/0!</v>
      </c>
    </row>
    <row r="193" spans="2:15" ht="15.75" customHeight="1" thickBot="1">
      <c r="D193" s="908"/>
      <c r="E193" s="913"/>
      <c r="F193" s="923"/>
      <c r="G193" s="924"/>
      <c r="H193" s="925"/>
      <c r="I193" s="926" t="s">
        <v>1364</v>
      </c>
      <c r="J193" s="929" t="e">
        <f>重み!M80</f>
        <v>#DIV/0!</v>
      </c>
      <c r="K193" s="923"/>
      <c r="L193" s="924"/>
      <c r="M193" s="925"/>
      <c r="N193" s="926" t="s">
        <v>1364</v>
      </c>
      <c r="O193" s="929" t="e">
        <f>重み!M81</f>
        <v>#DIV/0!</v>
      </c>
    </row>
    <row r="194" spans="2:15" ht="27" customHeight="1" thickBot="1">
      <c r="D194" s="908"/>
      <c r="E194" s="913"/>
      <c r="F194" s="930">
        <v>3</v>
      </c>
      <c r="G194" s="3198" t="s">
        <v>31</v>
      </c>
      <c r="H194" s="3271"/>
      <c r="I194" s="1046" t="s">
        <v>485</v>
      </c>
      <c r="J194" s="936"/>
      <c r="K194" s="930">
        <v>4</v>
      </c>
      <c r="L194" s="1046" t="s">
        <v>1505</v>
      </c>
      <c r="M194" s="936"/>
      <c r="N194" s="1046"/>
      <c r="O194" s="1051"/>
    </row>
    <row r="195" spans="2:15" ht="21" customHeight="1">
      <c r="B195" s="1147" t="s">
        <v>1509</v>
      </c>
      <c r="C195" s="1" t="s">
        <v>1509</v>
      </c>
      <c r="D195" s="908"/>
      <c r="E195" s="913"/>
      <c r="F195" s="937" t="str">
        <f>IF(F194=$S$15,$T$10,IF(ROUNDDOWN(F194,0)=$S$10,$U$10,$T$10))</f>
        <v>　レベル　1</v>
      </c>
      <c r="G195" s="3144" t="s">
        <v>2178</v>
      </c>
      <c r="H195" s="3150"/>
      <c r="I195" s="3144" t="s">
        <v>32</v>
      </c>
      <c r="J195" s="3150"/>
      <c r="K195" s="937" t="str">
        <f>IF(K194=$S$15,$T$10,IF(ROUNDDOWN(K194,0)=$S$10,$U$10,$T$10))</f>
        <v>　レベル　1</v>
      </c>
      <c r="L195" s="2675" t="s">
        <v>2178</v>
      </c>
      <c r="M195" s="1227"/>
      <c r="N195" s="1227"/>
      <c r="O195" s="941"/>
    </row>
    <row r="196" spans="2:15" ht="30.75" customHeight="1">
      <c r="B196" s="1147">
        <v>2</v>
      </c>
      <c r="C196" s="1" t="s">
        <v>1509</v>
      </c>
      <c r="D196" s="908"/>
      <c r="E196" s="913"/>
      <c r="F196" s="942" t="str">
        <f>IF(F194=$S$15,$T$11,IF(ROUNDDOWN(F194,0)=$S$11,$U$11,$T$11))</f>
        <v>　レベル　2</v>
      </c>
      <c r="G196" s="3148" t="s">
        <v>985</v>
      </c>
      <c r="H196" s="3149"/>
      <c r="I196" s="3148" t="s">
        <v>33</v>
      </c>
      <c r="J196" s="3149"/>
      <c r="K196" s="942" t="str">
        <f>IF(K194=$S$15,$T$11,IF(ROUNDDOWN(K194,0)=$S$11,$U$11,$T$11))</f>
        <v>　レベル　2</v>
      </c>
      <c r="L196" s="2674" t="s">
        <v>2178</v>
      </c>
      <c r="M196" s="1086"/>
      <c r="N196" s="1086"/>
      <c r="O196" s="948"/>
    </row>
    <row r="197" spans="2:15" ht="24.75" customHeight="1">
      <c r="B197" s="1">
        <v>3</v>
      </c>
      <c r="C197" s="1">
        <v>3</v>
      </c>
      <c r="D197" s="908"/>
      <c r="E197" s="913"/>
      <c r="F197" s="942" t="str">
        <f>IF(F194=$S$15,$T$12,IF(ROUNDDOWN(F194,0)=$S$12,$U$12,$T$12))</f>
        <v>■レベル　3</v>
      </c>
      <c r="G197" s="3148" t="s">
        <v>360</v>
      </c>
      <c r="H197" s="3149"/>
      <c r="I197" s="3148" t="s">
        <v>34</v>
      </c>
      <c r="J197" s="3149"/>
      <c r="K197" s="942" t="str">
        <f>IF(K194=$S$15,$T$12,IF(ROUNDDOWN(K194,0)=$S$12,$U$12,$T$12))</f>
        <v>　レベル　3</v>
      </c>
      <c r="L197" s="1103" t="s">
        <v>3247</v>
      </c>
      <c r="M197" s="1086"/>
      <c r="N197" s="1086"/>
      <c r="O197" s="948"/>
    </row>
    <row r="198" spans="2:15" ht="26.25" customHeight="1">
      <c r="B198" s="1">
        <v>4</v>
      </c>
      <c r="C198" s="1">
        <v>4</v>
      </c>
      <c r="D198" s="908"/>
      <c r="E198" s="913"/>
      <c r="F198" s="942" t="str">
        <f>IF(F194=$S$15,$T$13,IF(ROUNDDOWN(F194,0)=$S$13,$U$13,$T$13))</f>
        <v>　レベル　4</v>
      </c>
      <c r="G198" s="3148" t="s">
        <v>361</v>
      </c>
      <c r="H198" s="3149"/>
      <c r="I198" s="3148" t="s">
        <v>985</v>
      </c>
      <c r="J198" s="3149"/>
      <c r="K198" s="942" t="str">
        <f>IF(K194=$S$15,$T$13,IF(ROUNDDOWN(K194,0)=$S$13,$U$13,$T$13))</f>
        <v>■レベル　4</v>
      </c>
      <c r="L198" s="3148" t="s">
        <v>3248</v>
      </c>
      <c r="M198" s="3165"/>
      <c r="N198" s="3165"/>
      <c r="O198" s="3192"/>
    </row>
    <row r="199" spans="2:15" ht="57" customHeight="1">
      <c r="B199" s="1">
        <v>5</v>
      </c>
      <c r="C199" s="1">
        <v>5</v>
      </c>
      <c r="D199" s="908"/>
      <c r="E199" s="913"/>
      <c r="F199" s="953" t="str">
        <f>IF(F194=$S$15,$T$14,IF(ROUNDDOWN(F194,0)=$S$14,$U$14,$T$14))</f>
        <v>　レベル　5</v>
      </c>
      <c r="G199" s="3146" t="s">
        <v>362</v>
      </c>
      <c r="H199" s="3147"/>
      <c r="I199" s="3146" t="s">
        <v>362</v>
      </c>
      <c r="J199" s="3147"/>
      <c r="K199" s="953" t="str">
        <f>IF(K194=$S$15,$T$14,IF(ROUNDDOWN(K194,0)=$S$14,$U$14,$T$14))</f>
        <v>　レベル　5</v>
      </c>
      <c r="L199" s="3146" t="s">
        <v>3249</v>
      </c>
      <c r="M199" s="3312"/>
      <c r="N199" s="3312"/>
      <c r="O199" s="3313"/>
    </row>
    <row r="200" spans="2:15" ht="15.5">
      <c r="B200" s="960">
        <v>0</v>
      </c>
      <c r="C200" s="960">
        <v>0</v>
      </c>
      <c r="D200" s="908"/>
      <c r="E200" s="559"/>
      <c r="F200" s="1116"/>
      <c r="G200" s="995"/>
      <c r="H200" s="995"/>
      <c r="I200" s="995"/>
      <c r="J200" s="995"/>
      <c r="K200" s="1116"/>
      <c r="L200" s="1116"/>
      <c r="M200" s="1116"/>
      <c r="N200" s="1116"/>
      <c r="O200" s="1116"/>
    </row>
    <row r="201" spans="2:15" ht="15.5">
      <c r="D201" s="1225">
        <v>2.2000000000000002</v>
      </c>
      <c r="E201" s="1042" t="s">
        <v>2216</v>
      </c>
      <c r="F201" s="1226"/>
      <c r="G201" s="1226"/>
      <c r="H201" s="1043"/>
      <c r="I201" s="1153"/>
      <c r="J201" s="1153"/>
      <c r="K201" s="1152"/>
      <c r="L201" s="1224"/>
      <c r="M201" s="1152"/>
      <c r="N201" s="1152"/>
      <c r="O201" s="1152"/>
    </row>
    <row r="202" spans="2:15" ht="15.5">
      <c r="D202" s="1225"/>
      <c r="E202" s="1042"/>
      <c r="F202" s="1084" t="s">
        <v>550</v>
      </c>
      <c r="G202" s="996"/>
      <c r="H202" s="1045"/>
      <c r="I202" s="1025"/>
      <c r="J202" s="999" t="e">
        <f>IF(OR(F204=0,J203=0),$R$3,"")</f>
        <v>#DIV/0!</v>
      </c>
      <c r="K202" s="1084" t="s">
        <v>1164</v>
      </c>
      <c r="L202" s="996"/>
      <c r="M202" s="1045"/>
      <c r="N202" s="1025"/>
      <c r="O202" s="999" t="e">
        <f>IF(OR(K204=0,O203=0),$R$3,"")</f>
        <v>#DIV/0!</v>
      </c>
    </row>
    <row r="203" spans="2:15" ht="15" customHeight="1" thickBot="1">
      <c r="D203" s="908"/>
      <c r="E203" s="913"/>
      <c r="F203" s="923"/>
      <c r="G203" s="924"/>
      <c r="H203" s="925"/>
      <c r="I203" s="926" t="s">
        <v>1364</v>
      </c>
      <c r="J203" s="929" t="e">
        <f>重み!M83</f>
        <v>#DIV/0!</v>
      </c>
      <c r="K203" s="923"/>
      <c r="L203" s="924"/>
      <c r="M203" s="925"/>
      <c r="N203" s="926" t="s">
        <v>1364</v>
      </c>
      <c r="O203" s="929" t="e">
        <f>重み!M84</f>
        <v>#DIV/0!</v>
      </c>
    </row>
    <row r="204" spans="2:15" ht="27" customHeight="1" thickBot="1">
      <c r="D204" s="908"/>
      <c r="E204" s="913"/>
      <c r="F204" s="930">
        <v>3</v>
      </c>
      <c r="G204" s="1046" t="s">
        <v>41</v>
      </c>
      <c r="H204" s="935"/>
      <c r="I204" s="935"/>
      <c r="J204" s="936"/>
      <c r="K204" s="930">
        <v>3</v>
      </c>
      <c r="L204" s="1046" t="s">
        <v>1505</v>
      </c>
      <c r="M204" s="936"/>
      <c r="N204" s="1046"/>
      <c r="O204" s="1051"/>
    </row>
    <row r="205" spans="2:15" ht="21" customHeight="1">
      <c r="B205" s="1" t="s">
        <v>1509</v>
      </c>
      <c r="C205" s="1">
        <v>1</v>
      </c>
      <c r="D205" s="908"/>
      <c r="E205" s="913"/>
      <c r="F205" s="937" t="str">
        <f>IF(F204=$S$15,$T$10,IF(ROUNDDOWN(F204,0)=$S$10,$U$10,$T$10))</f>
        <v>　レベル　1</v>
      </c>
      <c r="G205" s="939" t="s">
        <v>2178</v>
      </c>
      <c r="H205" s="1227"/>
      <c r="I205" s="1227"/>
      <c r="J205" s="941"/>
      <c r="K205" s="937" t="str">
        <f>IF(K204=$S$15,$T$10,IF(ROUNDDOWN(K204,0)=$S$10,$U$10,$T$10))</f>
        <v>　レベル　1</v>
      </c>
      <c r="L205" s="939" t="s">
        <v>551</v>
      </c>
      <c r="M205" s="1227"/>
      <c r="N205" s="1227"/>
      <c r="O205" s="941"/>
    </row>
    <row r="206" spans="2:15" ht="21" customHeight="1">
      <c r="B206" s="1" t="s">
        <v>1509</v>
      </c>
      <c r="C206" s="1">
        <v>2</v>
      </c>
      <c r="D206" s="908"/>
      <c r="E206" s="913"/>
      <c r="F206" s="942" t="str">
        <f>IF(F204=$S$15,$T$11,IF(ROUNDDOWN(F204,0)=$S$11,$U$11,$T$11))</f>
        <v>　レベル　2</v>
      </c>
      <c r="G206" s="946" t="s">
        <v>2178</v>
      </c>
      <c r="H206" s="1086"/>
      <c r="I206" s="1086"/>
      <c r="J206" s="948"/>
      <c r="K206" s="942" t="str">
        <f>IF(K204=$S$15,$T$11,IF(ROUNDDOWN(K204,0)=$S$11,$U$11,$T$11))</f>
        <v>　レベル　2</v>
      </c>
      <c r="L206" s="946" t="s">
        <v>552</v>
      </c>
      <c r="M206" s="1086"/>
      <c r="N206" s="1086"/>
      <c r="O206" s="948"/>
    </row>
    <row r="207" spans="2:15" ht="54" customHeight="1">
      <c r="B207" s="1">
        <v>3</v>
      </c>
      <c r="C207" s="1">
        <v>3</v>
      </c>
      <c r="D207" s="908"/>
      <c r="E207" s="913"/>
      <c r="F207" s="942" t="str">
        <f>IF(F204=$S$15,$T$12,IF(ROUNDDOWN(F204,0)=$S$12,$U$12,$T$12))</f>
        <v>■レベル　3</v>
      </c>
      <c r="G207" s="3148" t="s">
        <v>2907</v>
      </c>
      <c r="H207" s="3165"/>
      <c r="I207" s="3165"/>
      <c r="J207" s="3192"/>
      <c r="K207" s="942" t="str">
        <f>IF(K204=$S$15,$T$12,IF(ROUNDDOWN(K204,0)=$S$12,$U$12,$T$12))</f>
        <v>■レベル　3</v>
      </c>
      <c r="L207" s="946" t="s">
        <v>553</v>
      </c>
      <c r="M207" s="1086"/>
      <c r="N207" s="1086"/>
      <c r="O207" s="948"/>
    </row>
    <row r="208" spans="2:15" ht="54" customHeight="1">
      <c r="B208" s="1">
        <v>4</v>
      </c>
      <c r="C208" s="1">
        <v>4</v>
      </c>
      <c r="D208" s="908"/>
      <c r="E208" s="913"/>
      <c r="F208" s="942" t="str">
        <f>IF(F204=$S$15,$T$13,IF(ROUNDDOWN(F204,0)=$S$13,$U$13,$T$13))</f>
        <v>　レベル　4</v>
      </c>
      <c r="G208" s="3148" t="s">
        <v>2908</v>
      </c>
      <c r="H208" s="3154"/>
      <c r="I208" s="3154"/>
      <c r="J208" s="3149"/>
      <c r="K208" s="942" t="str">
        <f>IF(K204=$S$15,$T$13,IF(ROUNDDOWN(K204,0)=$S$13,$U$13,$T$13))</f>
        <v>　レベル　4</v>
      </c>
      <c r="L208" s="946" t="s">
        <v>2875</v>
      </c>
      <c r="M208" s="1086"/>
      <c r="N208" s="1086"/>
      <c r="O208" s="948"/>
    </row>
    <row r="209" spans="2:15" ht="54" customHeight="1">
      <c r="B209" s="1">
        <v>5</v>
      </c>
      <c r="C209" s="1">
        <v>5</v>
      </c>
      <c r="D209" s="908"/>
      <c r="E209" s="913"/>
      <c r="F209" s="953" t="str">
        <f>IF(F204=$S$15,$T$14,IF(ROUNDDOWN(F204,0)=$S$14,$U$14,$T$14))</f>
        <v>　レベル　5</v>
      </c>
      <c r="G209" s="3146" t="s">
        <v>2909</v>
      </c>
      <c r="H209" s="3153"/>
      <c r="I209" s="3153"/>
      <c r="J209" s="3147"/>
      <c r="K209" s="953" t="str">
        <f>IF(K204=$S$15,$T$14,IF(ROUNDDOWN(K204,0)=$S$14,$U$14,$T$14))</f>
        <v>　レベル　5</v>
      </c>
      <c r="L209" s="957" t="s">
        <v>2876</v>
      </c>
      <c r="M209" s="1079"/>
      <c r="N209" s="1079"/>
      <c r="O209" s="959"/>
    </row>
    <row r="210" spans="2:15" ht="15.5">
      <c r="B210" s="960">
        <v>0</v>
      </c>
      <c r="C210" s="960">
        <v>0</v>
      </c>
      <c r="D210" s="908"/>
      <c r="E210" s="913"/>
      <c r="F210" s="1116"/>
      <c r="G210" s="995"/>
      <c r="H210" s="995"/>
      <c r="I210" s="995"/>
      <c r="J210" s="995"/>
      <c r="K210" s="1116"/>
      <c r="L210" s="1116"/>
      <c r="M210" s="1116"/>
      <c r="N210" s="1116"/>
      <c r="O210" s="1228"/>
    </row>
    <row r="211" spans="2:15" ht="15.5">
      <c r="D211" s="908"/>
      <c r="E211" s="913"/>
      <c r="F211" s="1084" t="s">
        <v>1165</v>
      </c>
      <c r="G211" s="996"/>
      <c r="H211" s="1045"/>
      <c r="I211" s="1025"/>
      <c r="J211" s="999" t="e">
        <f>IF(OR(F213=0,J212=0),$R$3,"")</f>
        <v>#DIV/0!</v>
      </c>
      <c r="K211" s="1084" t="s">
        <v>2877</v>
      </c>
      <c r="L211" s="996"/>
      <c r="M211" s="1045"/>
      <c r="N211" s="1025"/>
      <c r="O211" s="999" t="e">
        <f>IF(OR(K213=0,O212=0),$R$3,"")</f>
        <v>#DIV/0!</v>
      </c>
    </row>
    <row r="212" spans="2:15" ht="15.75" customHeight="1" thickBot="1">
      <c r="D212" s="908"/>
      <c r="E212" s="1229"/>
      <c r="F212" s="923"/>
      <c r="G212" s="924"/>
      <c r="H212" s="925"/>
      <c r="I212" s="926" t="s">
        <v>1364</v>
      </c>
      <c r="J212" s="929" t="e">
        <f>重み!M85</f>
        <v>#DIV/0!</v>
      </c>
      <c r="K212" s="923"/>
      <c r="L212" s="924"/>
      <c r="M212" s="925"/>
      <c r="N212" s="926" t="s">
        <v>1364</v>
      </c>
      <c r="O212" s="929" t="e">
        <f>重み!M86</f>
        <v>#DIV/0!</v>
      </c>
    </row>
    <row r="213" spans="2:15" ht="27" customHeight="1" thickBot="1">
      <c r="D213" s="908"/>
      <c r="E213" s="1229"/>
      <c r="F213" s="930">
        <v>3</v>
      </c>
      <c r="G213" s="1046" t="s">
        <v>1116</v>
      </c>
      <c r="H213" s="936"/>
      <c r="I213" s="935" t="s">
        <v>1166</v>
      </c>
      <c r="J213" s="936"/>
      <c r="K213" s="930">
        <v>3</v>
      </c>
      <c r="L213" s="1046" t="s">
        <v>1505</v>
      </c>
      <c r="M213" s="936"/>
      <c r="N213" s="1046"/>
      <c r="O213" s="1051"/>
    </row>
    <row r="214" spans="2:15" ht="21" customHeight="1">
      <c r="B214" s="1">
        <v>1</v>
      </c>
      <c r="C214" s="1" t="s">
        <v>1509</v>
      </c>
      <c r="D214" s="908"/>
      <c r="E214" s="1156"/>
      <c r="F214" s="937" t="str">
        <f>IF(F213=$S$15,$T$10,IF(ROUNDDOWN(F213,0)=$S$10,$U$10,$T$10))</f>
        <v>　レベル　1</v>
      </c>
      <c r="G214" s="939" t="s">
        <v>1167</v>
      </c>
      <c r="H214" s="941"/>
      <c r="I214" s="939" t="s">
        <v>551</v>
      </c>
      <c r="J214" s="941"/>
      <c r="K214" s="937" t="str">
        <f>IF(K213=$S$15,$T$10,IF(ROUNDDOWN(K213,0)=$S$10,$U$10,$T$10))</f>
        <v>　レベル　1</v>
      </c>
      <c r="L214" s="939" t="s">
        <v>2178</v>
      </c>
      <c r="M214" s="1227"/>
      <c r="N214" s="1227"/>
      <c r="O214" s="941"/>
    </row>
    <row r="215" spans="2:15" ht="21" customHeight="1">
      <c r="B215" s="1">
        <v>2</v>
      </c>
      <c r="C215" s="1" t="s">
        <v>1509</v>
      </c>
      <c r="D215" s="908"/>
      <c r="E215" s="1156"/>
      <c r="F215" s="942" t="str">
        <f>IF(F213=$S$15,$T$11,IF(ROUNDDOWN(F213,0)=$S$11,$U$11,$T$11))</f>
        <v>　レベル　2</v>
      </c>
      <c r="G215" s="946" t="s">
        <v>2878</v>
      </c>
      <c r="H215" s="948"/>
      <c r="I215" s="946" t="s">
        <v>2879</v>
      </c>
      <c r="J215" s="948"/>
      <c r="K215" s="942" t="str">
        <f>IF(K213=$S$15,$T$11,IF(ROUNDDOWN(K213,0)=$S$11,$U$11,$T$11))</f>
        <v>　レベル　2</v>
      </c>
      <c r="L215" s="946" t="s">
        <v>2178</v>
      </c>
      <c r="M215" s="1086"/>
      <c r="N215" s="1086"/>
      <c r="O215" s="948"/>
    </row>
    <row r="216" spans="2:15" ht="21" customHeight="1">
      <c r="B216" s="1">
        <v>3</v>
      </c>
      <c r="C216" s="1">
        <v>3</v>
      </c>
      <c r="D216" s="908"/>
      <c r="E216" s="1156"/>
      <c r="F216" s="942" t="str">
        <f>IF(F213=$S$15,$T$12,IF(ROUNDDOWN(F213,0)=$S$12,$U$12,$T$12))</f>
        <v>■レベル　3</v>
      </c>
      <c r="G216" s="946" t="s">
        <v>2880</v>
      </c>
      <c r="H216" s="948"/>
      <c r="I216" s="946" t="s">
        <v>2881</v>
      </c>
      <c r="J216" s="948"/>
      <c r="K216" s="942" t="str">
        <f>IF(K213=$S$15,$T$12,IF(ROUNDDOWN(K213,0)=$S$12,$U$12,$T$12))</f>
        <v>■レベル　3</v>
      </c>
      <c r="L216" s="946" t="s">
        <v>2882</v>
      </c>
      <c r="M216" s="1086"/>
      <c r="N216" s="1086"/>
      <c r="O216" s="948"/>
    </row>
    <row r="217" spans="2:15" ht="61.5" customHeight="1">
      <c r="B217" s="1">
        <v>4</v>
      </c>
      <c r="C217" s="1">
        <v>4</v>
      </c>
      <c r="D217" s="908"/>
      <c r="E217" s="1156"/>
      <c r="F217" s="942" t="str">
        <f>IF(F213=$S$15,$T$13,IF(ROUNDDOWN(F213,0)=$S$13,$U$13,$T$13))</f>
        <v>　レベル　4</v>
      </c>
      <c r="G217" s="946" t="s">
        <v>1541</v>
      </c>
      <c r="H217" s="948"/>
      <c r="I217" s="946" t="s">
        <v>1168</v>
      </c>
      <c r="J217" s="948"/>
      <c r="K217" s="942" t="str">
        <f>IF(K213=$S$15,$T$13,IF(ROUNDDOWN(K213,0)=$S$13,$U$13,$T$13))</f>
        <v>　レベル　4</v>
      </c>
      <c r="L217" s="3148" t="s">
        <v>1542</v>
      </c>
      <c r="M217" s="3183"/>
      <c r="N217" s="3183"/>
      <c r="O217" s="3184"/>
    </row>
    <row r="218" spans="2:15" ht="61.5" customHeight="1">
      <c r="B218" s="1">
        <v>5</v>
      </c>
      <c r="C218" s="1">
        <v>5</v>
      </c>
      <c r="D218" s="908"/>
      <c r="E218" s="1156"/>
      <c r="F218" s="953" t="str">
        <f>IF(F213=$S$15,$T$14,IF(ROUNDDOWN(F213,0)=$S$14,$U$14,$T$14))</f>
        <v>　レベル　5</v>
      </c>
      <c r="G218" s="957" t="s">
        <v>1169</v>
      </c>
      <c r="H218" s="959"/>
      <c r="I218" s="957" t="s">
        <v>1543</v>
      </c>
      <c r="J218" s="959"/>
      <c r="K218" s="953" t="str">
        <f>IF(K213=$S$15,$T$14,IF(ROUNDDOWN(K213,0)=$S$14,$U$14,$T$14))</f>
        <v>　レベル　5</v>
      </c>
      <c r="L218" s="3146" t="s">
        <v>1544</v>
      </c>
      <c r="M218" s="3193"/>
      <c r="N218" s="3193"/>
      <c r="O218" s="3194"/>
    </row>
    <row r="219" spans="2:15" ht="15.5">
      <c r="B219" s="960">
        <v>0</v>
      </c>
      <c r="C219" s="960">
        <v>0</v>
      </c>
      <c r="D219" s="908"/>
      <c r="E219" s="908"/>
      <c r="F219" s="1040"/>
      <c r="G219" s="1040"/>
      <c r="H219" s="1040"/>
      <c r="I219" s="1040"/>
      <c r="J219" s="1040"/>
      <c r="K219" s="1040"/>
      <c r="L219" s="1040"/>
      <c r="M219" s="1040"/>
      <c r="N219" s="1040"/>
      <c r="O219" s="1040"/>
    </row>
    <row r="220" spans="2:15" ht="15.5">
      <c r="D220" s="908"/>
      <c r="E220" s="908"/>
      <c r="F220" s="1084" t="s">
        <v>2265</v>
      </c>
      <c r="G220" s="996"/>
      <c r="H220" s="1045"/>
      <c r="I220" s="1025"/>
      <c r="J220" s="999" t="e">
        <f>IF(OR(F222=0,J221=0),$R$3,"")</f>
        <v>#DIV/0!</v>
      </c>
      <c r="K220" s="1084" t="s">
        <v>385</v>
      </c>
      <c r="L220" s="996"/>
      <c r="M220" s="1045"/>
      <c r="N220" s="1025"/>
      <c r="O220" s="999" t="e">
        <f>IF(OR(K222=0,O221=0),$R$3,"")</f>
        <v>#DIV/0!</v>
      </c>
    </row>
    <row r="221" spans="2:15" ht="15.75" customHeight="1" thickBot="1">
      <c r="D221" s="908"/>
      <c r="E221" s="1229"/>
      <c r="F221" s="923"/>
      <c r="G221" s="924"/>
      <c r="H221" s="925"/>
      <c r="I221" s="926" t="s">
        <v>1364</v>
      </c>
      <c r="J221" s="929" t="e">
        <f>重み!M87</f>
        <v>#DIV/0!</v>
      </c>
      <c r="K221" s="923"/>
      <c r="L221" s="924"/>
      <c r="M221" s="925"/>
      <c r="N221" s="926" t="s">
        <v>1364</v>
      </c>
      <c r="O221" s="929" t="e">
        <f>重み!M88</f>
        <v>#DIV/0!</v>
      </c>
    </row>
    <row r="222" spans="2:15" ht="27" customHeight="1" thickBot="1">
      <c r="D222" s="908"/>
      <c r="E222" s="1229"/>
      <c r="F222" s="930">
        <v>3</v>
      </c>
      <c r="G222" s="1046" t="s">
        <v>1505</v>
      </c>
      <c r="H222" s="936"/>
      <c r="I222" s="935"/>
      <c r="J222" s="936"/>
      <c r="K222" s="930">
        <v>3</v>
      </c>
      <c r="L222" s="1046" t="s">
        <v>1505</v>
      </c>
      <c r="M222" s="936"/>
      <c r="N222" s="1046"/>
      <c r="O222" s="1051"/>
    </row>
    <row r="223" spans="2:15" ht="21" customHeight="1">
      <c r="B223" s="1147" t="s">
        <v>1509</v>
      </c>
      <c r="C223" s="1">
        <v>1</v>
      </c>
      <c r="D223" s="908"/>
      <c r="E223" s="1156"/>
      <c r="F223" s="937" t="str">
        <f>IF(F222=$S$15,$T$10,IF(ROUNDDOWN(F222,0)=$S$10,$U$10,$T$10))</f>
        <v>　レベル　1</v>
      </c>
      <c r="G223" s="2468" t="s">
        <v>2178</v>
      </c>
      <c r="H223" s="1227"/>
      <c r="I223" s="1227"/>
      <c r="J223" s="941"/>
      <c r="K223" s="937" t="str">
        <f>IF(K222=$S$15,$T$10,IF(ROUNDDOWN(K222,0)=$S$10,$U$10,$T$10))</f>
        <v>　レベル　1</v>
      </c>
      <c r="L223" s="939" t="s">
        <v>386</v>
      </c>
      <c r="M223" s="1227"/>
      <c r="N223" s="1227"/>
      <c r="O223" s="941"/>
    </row>
    <row r="224" spans="2:15" ht="21" customHeight="1">
      <c r="B224" s="1" t="s">
        <v>1509</v>
      </c>
      <c r="C224" s="1">
        <v>2</v>
      </c>
      <c r="D224" s="908"/>
      <c r="E224" s="1156"/>
      <c r="F224" s="942" t="str">
        <f>IF(F222=$S$15,$T$11,IF(ROUNDDOWN(F222,0)=$S$11,$U$11,$T$11))</f>
        <v>　レベル　2</v>
      </c>
      <c r="G224" s="946" t="s">
        <v>2178</v>
      </c>
      <c r="H224" s="1086"/>
      <c r="I224" s="1086"/>
      <c r="J224" s="948"/>
      <c r="K224" s="942" t="str">
        <f>IF(K222=$S$15,$T$11,IF(ROUNDDOWN(K222,0)=$S$11,$U$11,$T$11))</f>
        <v>　レベル　2</v>
      </c>
      <c r="L224" s="946" t="s">
        <v>2266</v>
      </c>
      <c r="M224" s="1086"/>
      <c r="N224" s="1086"/>
      <c r="O224" s="948"/>
    </row>
    <row r="225" spans="2:15" ht="21" customHeight="1">
      <c r="B225" s="1">
        <v>3</v>
      </c>
      <c r="C225" s="1">
        <v>3</v>
      </c>
      <c r="D225" s="908"/>
      <c r="E225" s="1156"/>
      <c r="F225" s="942" t="str">
        <f>IF(F222=$S$15,$T$12,IF(ROUNDDOWN(F222,0)=$S$12,$U$12,$T$12))</f>
        <v>■レベル　3</v>
      </c>
      <c r="G225" s="946" t="s">
        <v>2267</v>
      </c>
      <c r="H225" s="1086"/>
      <c r="I225" s="1086"/>
      <c r="J225" s="948"/>
      <c r="K225" s="942" t="str">
        <f>IF(K222=$S$15,$T$12,IF(ROUNDDOWN(K222,0)=$S$12,$U$12,$T$12))</f>
        <v>■レベル　3</v>
      </c>
      <c r="L225" s="946" t="s">
        <v>2268</v>
      </c>
      <c r="M225" s="1086"/>
      <c r="N225" s="1086"/>
      <c r="O225" s="948"/>
    </row>
    <row r="226" spans="2:15" ht="21" customHeight="1">
      <c r="B226" s="1147">
        <v>4</v>
      </c>
      <c r="C226" s="1">
        <v>4</v>
      </c>
      <c r="D226" s="908"/>
      <c r="E226" s="1156"/>
      <c r="F226" s="942" t="str">
        <f>IF(F222=$S$15,$T$13,IF(ROUNDDOWN(F222,0)=$S$13,$U$13,$T$13))</f>
        <v>　レベル　4</v>
      </c>
      <c r="G226" s="946" t="s">
        <v>1670</v>
      </c>
      <c r="H226" s="1086"/>
      <c r="I226" s="1086"/>
      <c r="J226" s="948"/>
      <c r="K226" s="942" t="str">
        <f>IF(K222=$S$15,$T$13,IF(ROUNDDOWN(K222,0)=$S$13,$U$13,$T$13))</f>
        <v>　レベル　4</v>
      </c>
      <c r="L226" s="946" t="s">
        <v>1671</v>
      </c>
      <c r="M226" s="1086"/>
      <c r="N226" s="1086"/>
      <c r="O226" s="948"/>
    </row>
    <row r="227" spans="2:15" ht="31.5" customHeight="1">
      <c r="B227" s="1147">
        <v>5</v>
      </c>
      <c r="C227" s="1">
        <v>5</v>
      </c>
      <c r="D227" s="908"/>
      <c r="E227" s="1156"/>
      <c r="F227" s="953" t="str">
        <f>IF(F222=$S$15,$T$14,IF(ROUNDDOWN(F222,0)=$S$14,$U$14,$T$14))</f>
        <v>　レベル　5</v>
      </c>
      <c r="G227" s="3173" t="s">
        <v>1587</v>
      </c>
      <c r="H227" s="3269"/>
      <c r="I227" s="3269"/>
      <c r="J227" s="3270"/>
      <c r="K227" s="953" t="str">
        <f>IF(K222=$S$15,$T$14,IF(ROUNDDOWN(K222,0)=$S$14,$U$14,$T$14))</f>
        <v>　レベル　5</v>
      </c>
      <c r="L227" s="957" t="s">
        <v>1588</v>
      </c>
      <c r="M227" s="1079"/>
      <c r="N227" s="1079"/>
      <c r="O227" s="959"/>
    </row>
    <row r="228" spans="2:15" ht="15.5">
      <c r="B228" s="960">
        <v>0</v>
      </c>
      <c r="C228" s="960">
        <v>0</v>
      </c>
      <c r="D228" s="908"/>
      <c r="E228" s="908"/>
      <c r="F228" s="1040"/>
      <c r="G228" s="1040"/>
      <c r="H228" s="1040"/>
      <c r="I228" s="1040"/>
      <c r="J228" s="1040"/>
      <c r="K228" s="1040"/>
      <c r="L228" s="1040"/>
      <c r="M228" s="1040"/>
      <c r="N228" s="1040"/>
      <c r="O228" s="1040"/>
    </row>
    <row r="229" spans="2:15" ht="15.5">
      <c r="D229" s="1326">
        <v>2.2999999999999998</v>
      </c>
      <c r="E229" s="1143" t="s">
        <v>792</v>
      </c>
      <c r="F229" s="1152"/>
      <c r="G229" s="995" t="s">
        <v>1589</v>
      </c>
      <c r="H229" s="995"/>
      <c r="I229" s="995"/>
      <c r="J229" s="995"/>
      <c r="K229" s="1116"/>
      <c r="L229" s="1116"/>
      <c r="M229" s="1116"/>
      <c r="N229" s="1116"/>
      <c r="O229" s="1228"/>
    </row>
    <row r="230" spans="2:15" ht="15.5" hidden="1">
      <c r="B230" s="1114" t="s">
        <v>1590</v>
      </c>
      <c r="D230" s="1326"/>
      <c r="E230" s="1143"/>
      <c r="F230" s="1084" t="s">
        <v>387</v>
      </c>
      <c r="G230" s="996"/>
      <c r="H230" s="1045"/>
      <c r="I230" s="1025"/>
      <c r="J230" s="999" t="e">
        <f>IF(OR(F232=0,J231=0),$R$3,"")</f>
        <v>#DIV/0!</v>
      </c>
      <c r="K230" s="1084" t="s">
        <v>388</v>
      </c>
      <c r="L230" s="996"/>
      <c r="M230" s="1045"/>
      <c r="N230" s="1025"/>
      <c r="O230" s="999" t="e">
        <f>IF(OR(K232=0,O231=0),$R$3,"")</f>
        <v>#DIV/0!</v>
      </c>
    </row>
    <row r="231" spans="2:15" ht="16" hidden="1" thickBot="1">
      <c r="D231" s="1326"/>
      <c r="E231" s="1143"/>
      <c r="F231" s="923" t="s">
        <v>2827</v>
      </c>
      <c r="G231" s="924"/>
      <c r="H231" s="925"/>
      <c r="I231" s="926" t="s">
        <v>389</v>
      </c>
      <c r="J231" s="929" t="e">
        <f>重み!M90</f>
        <v>#DIV/0!</v>
      </c>
      <c r="K231" s="923" t="s">
        <v>2827</v>
      </c>
      <c r="L231" s="924"/>
      <c r="M231" s="925"/>
      <c r="N231" s="926" t="s">
        <v>389</v>
      </c>
      <c r="O231" s="929" t="e">
        <f>重み!M91</f>
        <v>#DIV/0!</v>
      </c>
    </row>
    <row r="232" spans="2:15" ht="16" hidden="1" thickBot="1">
      <c r="D232" s="1326"/>
      <c r="E232" s="1143"/>
      <c r="F232" s="930">
        <v>3</v>
      </c>
      <c r="G232" s="1046" t="s">
        <v>390</v>
      </c>
      <c r="H232" s="936"/>
      <c r="I232" s="935"/>
      <c r="J232" s="936"/>
      <c r="K232" s="930">
        <v>3</v>
      </c>
      <c r="L232" s="1046" t="s">
        <v>390</v>
      </c>
      <c r="M232" s="936"/>
      <c r="N232" s="1046"/>
      <c r="O232" s="1051"/>
    </row>
    <row r="233" spans="2:15" ht="15.75" hidden="1" customHeight="1">
      <c r="B233" s="1">
        <v>1</v>
      </c>
      <c r="C233" s="1">
        <v>1</v>
      </c>
      <c r="D233" s="1326"/>
      <c r="E233" s="1143"/>
      <c r="F233" s="937" t="str">
        <f>IF(F232=$S$15,$T$10,IF(ROUNDDOWN(F232,0)=$S$10,$U$10,$T$10))</f>
        <v>　レベル　1</v>
      </c>
      <c r="G233" s="2388" t="s">
        <v>1591</v>
      </c>
      <c r="H233" s="1227"/>
      <c r="I233" s="1227"/>
      <c r="J233" s="941"/>
      <c r="K233" s="937" t="str">
        <f>IF(K232=$S$15,$T$10,IF(ROUNDDOWN(K232,0)=$S$10,$U$10,$T$10))</f>
        <v>　レベル　1</v>
      </c>
      <c r="L233" s="3144" t="s">
        <v>1591</v>
      </c>
      <c r="M233" s="3281"/>
      <c r="N233" s="3281"/>
      <c r="O233" s="3282"/>
    </row>
    <row r="234" spans="2:15" ht="15.75" hidden="1" customHeight="1">
      <c r="B234" s="1">
        <v>2</v>
      </c>
      <c r="C234" s="1">
        <v>2</v>
      </c>
      <c r="D234" s="1326"/>
      <c r="E234" s="1143"/>
      <c r="F234" s="942" t="str">
        <f>IF(F232=$S$15,$T$11,IF(ROUNDDOWN(F232,0)=$S$11,$U$11,$T$11))</f>
        <v>　レベル　2</v>
      </c>
      <c r="G234" s="2388" t="s">
        <v>1592</v>
      </c>
      <c r="H234" s="1086"/>
      <c r="I234" s="1086"/>
      <c r="J234" s="948"/>
      <c r="K234" s="942" t="str">
        <f>IF(K232=$S$15,$T$11,IF(ROUNDDOWN(K232,0)=$S$11,$U$11,$T$11))</f>
        <v>　レベル　2</v>
      </c>
      <c r="L234" s="3148" t="s">
        <v>1592</v>
      </c>
      <c r="M234" s="3183"/>
      <c r="N234" s="3183"/>
      <c r="O234" s="3184"/>
    </row>
    <row r="235" spans="2:15" ht="15.75" hidden="1" customHeight="1">
      <c r="B235" s="1">
        <v>3</v>
      </c>
      <c r="C235" s="1">
        <v>3</v>
      </c>
      <c r="D235" s="1326"/>
      <c r="E235" s="1143"/>
      <c r="F235" s="942" t="str">
        <f>IF(F232=$S$15,$T$12,IF(ROUNDDOWN(F232,0)=$S$12,$U$12,$T$12))</f>
        <v>■レベル　3</v>
      </c>
      <c r="G235" s="2388" t="s">
        <v>3020</v>
      </c>
      <c r="H235" s="1086"/>
      <c r="I235" s="1086"/>
      <c r="J235" s="948"/>
      <c r="K235" s="942" t="str">
        <f>IF(K232=$S$15,$T$12,IF(ROUNDDOWN(K232,0)=$S$12,$U$12,$T$12))</f>
        <v>■レベル　3</v>
      </c>
      <c r="L235" s="3148" t="s">
        <v>3021</v>
      </c>
      <c r="M235" s="3183"/>
      <c r="N235" s="3183"/>
      <c r="O235" s="3184"/>
    </row>
    <row r="236" spans="2:15" ht="15.75" hidden="1" customHeight="1">
      <c r="B236" s="1" t="s">
        <v>391</v>
      </c>
      <c r="C236" s="1" t="s">
        <v>391</v>
      </c>
      <c r="D236" s="1326"/>
      <c r="E236" s="1143"/>
      <c r="F236" s="942" t="str">
        <f>IF(F232=$S$15,$T$13,IF(ROUNDDOWN(F232,0)=$S$13,$U$13,$T$13))</f>
        <v>　レベル　4</v>
      </c>
      <c r="G236" s="3148" t="s">
        <v>2178</v>
      </c>
      <c r="H236" s="3183"/>
      <c r="I236" s="3183"/>
      <c r="J236" s="3184"/>
      <c r="K236" s="942" t="str">
        <f>IF(K232=$S$15,$T$13,IF(ROUNDDOWN(K232,0)=$S$13,$U$13,$T$13))</f>
        <v>　レベル　4</v>
      </c>
      <c r="L236" s="3148" t="s">
        <v>2178</v>
      </c>
      <c r="M236" s="3183"/>
      <c r="N236" s="3183"/>
      <c r="O236" s="3184"/>
    </row>
    <row r="237" spans="2:15" ht="15.75" hidden="1" customHeight="1">
      <c r="B237" s="1">
        <v>5</v>
      </c>
      <c r="C237" s="1">
        <v>5</v>
      </c>
      <c r="D237" s="1326"/>
      <c r="E237" s="1143"/>
      <c r="F237" s="953" t="str">
        <f>IF(F232=$S$15,$T$14,IF(ROUNDDOWN(F232,0)=$S$14,$U$14,$T$14))</f>
        <v>　レベル　5</v>
      </c>
      <c r="G237" s="2386" t="s">
        <v>1593</v>
      </c>
      <c r="H237" s="1079"/>
      <c r="I237" s="1079"/>
      <c r="J237" s="959"/>
      <c r="K237" s="953" t="str">
        <f>IF(K232=$S$15,$T$14,IF(ROUNDDOWN(K232,0)=$S$14,$U$14,$T$14))</f>
        <v>　レベル　5</v>
      </c>
      <c r="L237" s="3146" t="s">
        <v>1593</v>
      </c>
      <c r="M237" s="3193"/>
      <c r="N237" s="3193"/>
      <c r="O237" s="3194"/>
    </row>
    <row r="238" spans="2:15" ht="15.5" hidden="1">
      <c r="B238" s="960">
        <v>0</v>
      </c>
      <c r="C238" s="960">
        <v>0</v>
      </c>
      <c r="D238" s="1326"/>
      <c r="E238" s="1143"/>
      <c r="F238" s="1163"/>
      <c r="G238" s="1163"/>
      <c r="H238" s="1163"/>
      <c r="I238" s="1163"/>
      <c r="J238" s="1163"/>
      <c r="K238" s="1163"/>
      <c r="L238" s="1163"/>
      <c r="M238" s="1163"/>
      <c r="N238" s="1163"/>
      <c r="O238" s="1163"/>
    </row>
    <row r="239" spans="2:15" ht="15.5" hidden="1">
      <c r="B239" s="1114" t="s">
        <v>1590</v>
      </c>
      <c r="D239" s="1326"/>
      <c r="E239" s="1143"/>
      <c r="F239" s="1084" t="s">
        <v>392</v>
      </c>
      <c r="G239" s="996"/>
      <c r="H239" s="1045"/>
      <c r="I239" s="1025"/>
      <c r="J239" s="999" t="e">
        <f>IF(OR(F241=0,J240=0),$R$3,"")</f>
        <v>#DIV/0!</v>
      </c>
      <c r="K239" s="1163"/>
      <c r="L239" s="1163"/>
      <c r="M239" s="1163"/>
      <c r="N239" s="1163"/>
      <c r="O239" s="1163"/>
    </row>
    <row r="240" spans="2:15" ht="16" hidden="1" thickBot="1">
      <c r="D240" s="1326"/>
      <c r="E240" s="1143"/>
      <c r="F240" s="923" t="s">
        <v>2827</v>
      </c>
      <c r="G240" s="924"/>
      <c r="H240" s="925"/>
      <c r="I240" s="926" t="s">
        <v>389</v>
      </c>
      <c r="J240" s="929" t="e">
        <f>重み!M92</f>
        <v>#DIV/0!</v>
      </c>
      <c r="K240" s="1163"/>
      <c r="L240" s="1163"/>
      <c r="M240" s="1163"/>
      <c r="N240" s="1163"/>
      <c r="O240" s="1163"/>
    </row>
    <row r="241" spans="2:15" ht="16" hidden="1" thickBot="1">
      <c r="D241" s="1326"/>
      <c r="E241" s="1143"/>
      <c r="F241" s="930">
        <v>3</v>
      </c>
      <c r="G241" s="1046" t="s">
        <v>390</v>
      </c>
      <c r="H241" s="936"/>
      <c r="I241" s="935"/>
      <c r="J241" s="936"/>
      <c r="K241" s="1163"/>
      <c r="L241" s="1163"/>
      <c r="M241" s="1163"/>
      <c r="N241" s="1163"/>
      <c r="O241" s="1163"/>
    </row>
    <row r="242" spans="2:15" ht="15.75" hidden="1" customHeight="1">
      <c r="B242" s="1">
        <v>1</v>
      </c>
      <c r="C242" s="1">
        <v>1</v>
      </c>
      <c r="D242" s="1326"/>
      <c r="E242" s="1143"/>
      <c r="F242" s="937" t="str">
        <f>IF(F241=$S$15,$T$10,IF(ROUNDDOWN(F241,0)=$S$10,$U$10,$T$10))</f>
        <v>　レベル　1</v>
      </c>
      <c r="G242" s="3144" t="s">
        <v>1591</v>
      </c>
      <c r="H242" s="3281"/>
      <c r="I242" s="3281"/>
      <c r="J242" s="3282"/>
      <c r="K242" s="1163"/>
      <c r="L242" s="1163"/>
      <c r="M242" s="1163"/>
      <c r="N242" s="1163"/>
      <c r="O242" s="1163"/>
    </row>
    <row r="243" spans="2:15" ht="15.75" hidden="1" customHeight="1">
      <c r="B243" s="1">
        <v>2</v>
      </c>
      <c r="C243" s="1">
        <v>2</v>
      </c>
      <c r="D243" s="1326"/>
      <c r="E243" s="1143"/>
      <c r="F243" s="942" t="str">
        <f>IF(F241=$S$15,$T$11,IF(ROUNDDOWN(F241,0)=$S$11,$U$11,$T$11))</f>
        <v>　レベル　2</v>
      </c>
      <c r="G243" s="3148" t="s">
        <v>1592</v>
      </c>
      <c r="H243" s="3183"/>
      <c r="I243" s="3183"/>
      <c r="J243" s="3184"/>
      <c r="K243" s="1163"/>
      <c r="L243" s="1163"/>
      <c r="M243" s="1163"/>
      <c r="N243" s="1163"/>
      <c r="O243" s="1163"/>
    </row>
    <row r="244" spans="2:15" ht="15.75" hidden="1" customHeight="1">
      <c r="B244" s="1">
        <v>3</v>
      </c>
      <c r="C244" s="1">
        <v>3</v>
      </c>
      <c r="D244" s="1326"/>
      <c r="E244" s="1143"/>
      <c r="F244" s="942" t="str">
        <f>IF(F241=$S$15,$T$12,IF(ROUNDDOWN(F241,0)=$S$12,$U$12,$T$12))</f>
        <v>■レベル　3</v>
      </c>
      <c r="G244" s="3148" t="s">
        <v>3021</v>
      </c>
      <c r="H244" s="3183"/>
      <c r="I244" s="3183"/>
      <c r="J244" s="3184"/>
      <c r="K244" s="1163"/>
      <c r="L244" s="1163"/>
      <c r="M244" s="1163"/>
      <c r="N244" s="1163"/>
      <c r="O244" s="1163"/>
    </row>
    <row r="245" spans="2:15" ht="15.75" hidden="1" customHeight="1">
      <c r="B245" s="1" t="s">
        <v>391</v>
      </c>
      <c r="C245" s="1">
        <v>4</v>
      </c>
      <c r="D245" s="1326"/>
      <c r="E245" s="1143"/>
      <c r="F245" s="942" t="str">
        <f>IF(F241=$S$15,$T$13,IF(ROUNDDOWN(F241,0)=$S$13,$U$13,$T$13))</f>
        <v>　レベル　4</v>
      </c>
      <c r="G245" s="3148" t="s">
        <v>2178</v>
      </c>
      <c r="H245" s="3183"/>
      <c r="I245" s="3183"/>
      <c r="J245" s="3184"/>
      <c r="K245" s="1163"/>
      <c r="L245" s="1163"/>
      <c r="M245" s="1163"/>
      <c r="N245" s="1163"/>
      <c r="O245" s="1163"/>
    </row>
    <row r="246" spans="2:15" ht="15.75" hidden="1" customHeight="1">
      <c r="B246" s="1">
        <v>5</v>
      </c>
      <c r="C246" s="1">
        <v>5</v>
      </c>
      <c r="D246" s="1326"/>
      <c r="E246" s="1143"/>
      <c r="F246" s="953" t="str">
        <f>IF(F241=$S$15,$T$14,IF(ROUNDDOWN(F241,0)=$S$14,$U$14,$T$14))</f>
        <v>　レベル　5</v>
      </c>
      <c r="G246" s="3146" t="s">
        <v>3022</v>
      </c>
      <c r="H246" s="3193"/>
      <c r="I246" s="3193"/>
      <c r="J246" s="3194"/>
      <c r="K246" s="1163"/>
      <c r="L246" s="1163"/>
      <c r="M246" s="1163"/>
      <c r="N246" s="1163"/>
      <c r="O246" s="1163"/>
    </row>
    <row r="247" spans="2:15" ht="15.5">
      <c r="B247" s="960">
        <v>0</v>
      </c>
      <c r="C247" s="960">
        <v>0</v>
      </c>
      <c r="D247" s="1326"/>
      <c r="E247" s="1143"/>
      <c r="F247" s="1152"/>
      <c r="G247" s="995"/>
      <c r="H247" s="995"/>
      <c r="I247" s="995"/>
      <c r="J247" s="995"/>
      <c r="K247" s="1116"/>
      <c r="L247" s="1116"/>
      <c r="M247" s="1116"/>
      <c r="N247" s="1116"/>
      <c r="O247" s="1228"/>
    </row>
    <row r="248" spans="2:15" ht="15.5">
      <c r="D248" s="1326">
        <v>2.4</v>
      </c>
      <c r="E248" s="1143" t="s">
        <v>84</v>
      </c>
      <c r="F248" s="1152"/>
      <c r="G248" s="1153"/>
      <c r="H248" s="1153"/>
      <c r="I248" s="1153"/>
      <c r="J248" s="1153"/>
      <c r="K248" s="1152"/>
      <c r="L248" s="1152"/>
      <c r="M248" s="1152"/>
      <c r="N248" s="1152"/>
      <c r="O248" s="1152"/>
    </row>
    <row r="249" spans="2:15" ht="15.5">
      <c r="D249" s="1326"/>
      <c r="E249" s="1143"/>
      <c r="F249" s="1084" t="s">
        <v>393</v>
      </c>
      <c r="G249" s="1153"/>
      <c r="H249" s="1153"/>
      <c r="I249" s="1153"/>
      <c r="J249" s="999" t="e">
        <f>IF(OR(F251=0,J250=0),$R$3,"")</f>
        <v>#DIV/0!</v>
      </c>
      <c r="K249" s="1152"/>
      <c r="L249" s="1152"/>
      <c r="M249" s="1152"/>
      <c r="N249" s="1152"/>
      <c r="O249" s="1152"/>
    </row>
    <row r="250" spans="2:15" ht="16" thickBot="1">
      <c r="D250" s="908"/>
      <c r="E250" s="913"/>
      <c r="F250" s="1065"/>
      <c r="G250" s="924"/>
      <c r="H250" s="925"/>
      <c r="I250" s="926" t="s">
        <v>1364</v>
      </c>
      <c r="J250" s="927" t="e">
        <f>重み!M94</f>
        <v>#DIV/0!</v>
      </c>
      <c r="K250" s="1066"/>
      <c r="L250" s="1068"/>
      <c r="M250" s="962"/>
      <c r="N250" s="962"/>
      <c r="O250" s="1230"/>
    </row>
    <row r="251" spans="2:15" ht="27" customHeight="1" thickBot="1">
      <c r="D251" s="908"/>
      <c r="E251" s="913"/>
      <c r="F251" s="2056" t="e">
        <f>IF(K260&lt;&gt;0,ROUND((K261*K260)/K260,1),ROUND((G261*G260+I261*I260)/(G260+I260),1))</f>
        <v>#DIV/0!</v>
      </c>
      <c r="G251" s="1132" t="s">
        <v>394</v>
      </c>
      <c r="H251" s="1231"/>
      <c r="I251" s="1046" t="s">
        <v>395</v>
      </c>
      <c r="J251" s="1232"/>
      <c r="K251" s="3263" t="s">
        <v>396</v>
      </c>
      <c r="L251" s="3264"/>
      <c r="M251" s="962"/>
      <c r="N251" s="962"/>
      <c r="O251" s="962"/>
    </row>
    <row r="252" spans="2:15" ht="21" customHeight="1">
      <c r="B252" s="1">
        <v>1</v>
      </c>
      <c r="C252" s="1">
        <v>1</v>
      </c>
      <c r="D252" s="908"/>
      <c r="E252" s="913"/>
      <c r="F252" s="937" t="e">
        <f>IF(F251=$S$15,$T$10,IF(ROUNDDOWN(F251,0)=$S$10,$U$10,$T$10))</f>
        <v>#DIV/0!</v>
      </c>
      <c r="G252" s="3144" t="s">
        <v>397</v>
      </c>
      <c r="H252" s="3150"/>
      <c r="I252" s="3144" t="s">
        <v>823</v>
      </c>
      <c r="J252" s="3162"/>
      <c r="K252" s="3144" t="s">
        <v>2178</v>
      </c>
      <c r="L252" s="3150"/>
      <c r="M252" s="1025"/>
      <c r="N252" s="1025"/>
      <c r="O252" s="1025"/>
    </row>
    <row r="253" spans="2:15" ht="21" customHeight="1">
      <c r="B253" s="1" t="s">
        <v>228</v>
      </c>
      <c r="C253" s="1">
        <v>2</v>
      </c>
      <c r="D253" s="908"/>
      <c r="E253" s="913"/>
      <c r="F253" s="942" t="e">
        <f>IF(F251=$S$15,$T$11,IF(ROUNDDOWN(F251,0)=$S$11,$U$11,$T$11))</f>
        <v>#DIV/0!</v>
      </c>
      <c r="G253" s="3148" t="s">
        <v>2178</v>
      </c>
      <c r="H253" s="3149"/>
      <c r="I253" s="3148" t="s">
        <v>2178</v>
      </c>
      <c r="J253" s="3149"/>
      <c r="K253" s="3148" t="s">
        <v>2178</v>
      </c>
      <c r="L253" s="3192"/>
      <c r="M253" s="1025"/>
      <c r="N253" s="1025"/>
      <c r="O253" s="1025"/>
    </row>
    <row r="254" spans="2:15" ht="37.5" customHeight="1">
      <c r="B254" s="1">
        <v>3</v>
      </c>
      <c r="C254" s="1">
        <v>3</v>
      </c>
      <c r="D254" s="908"/>
      <c r="E254" s="913"/>
      <c r="F254" s="942" t="e">
        <f>IF(F251=$S$15,$T$12,IF(ROUNDDOWN(F251,0)=$S$12,$U$12,$T$12))</f>
        <v>#DIV/0!</v>
      </c>
      <c r="G254" s="3148" t="s">
        <v>415</v>
      </c>
      <c r="H254" s="3149"/>
      <c r="I254" s="3148" t="s">
        <v>415</v>
      </c>
      <c r="J254" s="3149"/>
      <c r="K254" s="3148" t="s">
        <v>416</v>
      </c>
      <c r="L254" s="3192"/>
      <c r="M254" s="1025"/>
      <c r="N254" s="1025"/>
      <c r="O254" s="1025"/>
    </row>
    <row r="255" spans="2:15" ht="21" customHeight="1">
      <c r="B255" s="1">
        <v>4</v>
      </c>
      <c r="C255" s="1">
        <v>4</v>
      </c>
      <c r="D255" s="908"/>
      <c r="E255" s="913"/>
      <c r="F255" s="942" t="e">
        <f>IF(F251=$S$15,$T$13,IF(ROUNDDOWN(F251,0)=$S$13,$U$13,$T$13))</f>
        <v>#DIV/0!</v>
      </c>
      <c r="G255" s="3148" t="s">
        <v>417</v>
      </c>
      <c r="H255" s="3149"/>
      <c r="I255" s="3148" t="s">
        <v>2178</v>
      </c>
      <c r="J255" s="3149"/>
      <c r="K255" s="3148" t="s">
        <v>418</v>
      </c>
      <c r="L255" s="3192"/>
      <c r="M255" s="1025"/>
      <c r="N255" s="1025"/>
      <c r="O255" s="1025"/>
    </row>
    <row r="256" spans="2:15" ht="21" customHeight="1" thickBot="1">
      <c r="B256" s="1">
        <v>5</v>
      </c>
      <c r="C256" s="1">
        <v>5</v>
      </c>
      <c r="D256" s="908"/>
      <c r="E256" s="913"/>
      <c r="F256" s="953" t="e">
        <f>IF(F251=$S$15,$T$14,IF(ROUNDDOWN(F251,0)=$S$14,$U$14,$T$14))</f>
        <v>#DIV/0!</v>
      </c>
      <c r="G256" s="3146" t="s">
        <v>419</v>
      </c>
      <c r="H256" s="3147"/>
      <c r="I256" s="3146" t="s">
        <v>420</v>
      </c>
      <c r="J256" s="3147"/>
      <c r="K256" s="3146" t="s">
        <v>421</v>
      </c>
      <c r="L256" s="3176"/>
      <c r="M256" s="1025"/>
      <c r="N256" s="1025"/>
      <c r="O256" s="1025"/>
    </row>
    <row r="257" spans="2:15" ht="16" thickBot="1">
      <c r="B257" s="960">
        <v>0</v>
      </c>
      <c r="C257" s="960">
        <v>0</v>
      </c>
      <c r="D257" s="1010"/>
      <c r="E257" s="1233"/>
      <c r="F257" s="930">
        <v>0</v>
      </c>
      <c r="G257" s="1158" t="s">
        <v>2666</v>
      </c>
      <c r="H257" s="2777" t="s">
        <v>3339</v>
      </c>
      <c r="I257" s="1235"/>
      <c r="K257" s="1007"/>
      <c r="L257" s="1007"/>
      <c r="M257" s="1007"/>
      <c r="N257" s="1007"/>
      <c r="O257" s="1007"/>
    </row>
    <row r="258" spans="2:15" ht="15.5">
      <c r="D258" s="908"/>
      <c r="E258" s="1237"/>
      <c r="F258" s="2833" t="s">
        <v>422</v>
      </c>
      <c r="I258" s="1238"/>
      <c r="J258" s="1102"/>
      <c r="K258" s="962"/>
      <c r="L258" s="962"/>
      <c r="M258" s="962"/>
      <c r="N258" s="962"/>
      <c r="O258" s="962"/>
    </row>
    <row r="259" spans="2:15" ht="31.5" customHeight="1">
      <c r="D259" s="908"/>
      <c r="E259" s="1237"/>
      <c r="F259" s="1253" t="s">
        <v>423</v>
      </c>
      <c r="G259" s="1239" t="s">
        <v>424</v>
      </c>
      <c r="H259" s="1240"/>
      <c r="I259" s="1239" t="s">
        <v>425</v>
      </c>
      <c r="J259" s="1240"/>
      <c r="K259" s="3265" t="s">
        <v>426</v>
      </c>
      <c r="L259" s="3264"/>
      <c r="M259" s="962"/>
      <c r="N259" s="962"/>
      <c r="O259" s="962"/>
    </row>
    <row r="260" spans="2:15" ht="15.5">
      <c r="D260" s="908"/>
      <c r="E260" s="559"/>
      <c r="F260" s="1241" t="s">
        <v>427</v>
      </c>
      <c r="G260" s="1242">
        <f>IF(メイン!J66&gt;=2000,メイン!J47+メイン!J57+メイン!J61+メイン!J62+メイン!J60,0)</f>
        <v>0</v>
      </c>
      <c r="H260" s="1243"/>
      <c r="I260" s="1242">
        <f>IF(メイン!J66&gt;=2000,メイン!J49+メイン!J54+メイン!J56+メイン!J64,0)</f>
        <v>0</v>
      </c>
      <c r="J260" s="1243"/>
      <c r="K260" s="1242">
        <f>IF(メイン!J66&lt;2000,メイン!J66,0)</f>
        <v>0</v>
      </c>
      <c r="L260" s="1243"/>
      <c r="M260" s="962"/>
      <c r="N260" s="962"/>
      <c r="O260" s="962"/>
    </row>
    <row r="261" spans="2:15" ht="16" thickBot="1">
      <c r="D261" s="908"/>
      <c r="E261" s="559"/>
      <c r="F261" s="1244" t="s">
        <v>428</v>
      </c>
      <c r="G261" s="2843">
        <f>IF(H257=T4,F257,IF(G266&lt;1,1,IF(G266=1,3,IF(G266=2,4,IF(G266&gt;=3,5)))))</f>
        <v>3</v>
      </c>
      <c r="H261" s="1245"/>
      <c r="I261" s="2843">
        <f>IF(H257=T4,F257,IF(G266&lt;1,1,IF(G266=1,3,IF(G266&gt;=2,5))))</f>
        <v>3</v>
      </c>
      <c r="J261" s="1245"/>
      <c r="K261" s="2843">
        <f>IF(H257=T4,F257,IF(G266=1,4,IF(G266&gt;=2,5,3)))</f>
        <v>4</v>
      </c>
      <c r="L261" s="1245"/>
      <c r="M261" s="962"/>
      <c r="N261" s="962"/>
      <c r="O261" s="962"/>
    </row>
    <row r="262" spans="2:15" ht="35.25" customHeight="1">
      <c r="D262" s="908"/>
      <c r="E262" s="1237"/>
      <c r="F262" s="1246"/>
      <c r="G262" s="3279" t="s">
        <v>592</v>
      </c>
      <c r="H262" s="3164"/>
      <c r="I262" s="3164"/>
      <c r="J262" s="3164"/>
      <c r="K262" s="3164"/>
      <c r="L262" s="3150"/>
      <c r="M262" s="962"/>
      <c r="N262" s="962"/>
      <c r="O262" s="962"/>
    </row>
    <row r="263" spans="2:15" ht="30.75" customHeight="1">
      <c r="D263" s="908"/>
      <c r="E263" s="559"/>
      <c r="F263" s="1249" t="s">
        <v>2671</v>
      </c>
      <c r="G263" s="3260" t="s">
        <v>593</v>
      </c>
      <c r="H263" s="3261"/>
      <c r="I263" s="3261"/>
      <c r="J263" s="3261"/>
      <c r="K263" s="3261"/>
      <c r="L263" s="3262"/>
      <c r="M263" s="962"/>
      <c r="N263" s="962"/>
      <c r="O263" s="962"/>
    </row>
    <row r="264" spans="2:15" ht="30.75" customHeight="1">
      <c r="D264" s="908"/>
      <c r="E264" s="559"/>
      <c r="F264" s="1249"/>
      <c r="G264" s="3260" t="s">
        <v>594</v>
      </c>
      <c r="H264" s="3261"/>
      <c r="I264" s="3261"/>
      <c r="J264" s="3261"/>
      <c r="K264" s="3261"/>
      <c r="L264" s="3262"/>
      <c r="M264" s="962"/>
      <c r="N264" s="962"/>
      <c r="O264" s="962"/>
    </row>
    <row r="265" spans="2:15" ht="35.25" customHeight="1" thickBot="1">
      <c r="D265" s="908"/>
      <c r="E265" s="559"/>
      <c r="F265" s="1250"/>
      <c r="G265" s="3257" t="s">
        <v>595</v>
      </c>
      <c r="H265" s="3258"/>
      <c r="I265" s="3258"/>
      <c r="J265" s="3258"/>
      <c r="K265" s="3258"/>
      <c r="L265" s="3259"/>
      <c r="M265" s="1230"/>
      <c r="N265" s="1230"/>
      <c r="O265" s="1230"/>
    </row>
    <row r="266" spans="2:15" s="2687" customFormat="1" ht="15.5">
      <c r="D266" s="908"/>
      <c r="E266" s="559"/>
      <c r="F266" s="2842" t="s">
        <v>39</v>
      </c>
      <c r="G266" s="2767">
        <f>COUNTIF(F262:F265,$S$3)</f>
        <v>1</v>
      </c>
      <c r="H266" s="1209"/>
      <c r="I266" s="1209"/>
      <c r="J266" s="2765"/>
      <c r="K266" s="2765"/>
      <c r="L266" s="2776"/>
      <c r="M266" s="1230"/>
      <c r="N266" s="1230"/>
      <c r="O266" s="1230"/>
    </row>
    <row r="267" spans="2:15" ht="15.5">
      <c r="D267" s="908"/>
      <c r="E267" s="559"/>
      <c r="F267" s="1251"/>
      <c r="G267" s="1252"/>
      <c r="H267" s="1252"/>
      <c r="I267" s="1252"/>
      <c r="J267" s="1252"/>
      <c r="K267" s="1251"/>
      <c r="L267" s="1252"/>
      <c r="M267" s="1252"/>
      <c r="N267" s="1252"/>
      <c r="O267" s="1252"/>
    </row>
    <row r="268" spans="2:15" ht="15.5">
      <c r="D268" s="908"/>
      <c r="E268" s="559"/>
      <c r="F268" s="1084" t="s">
        <v>596</v>
      </c>
      <c r="G268" s="1153"/>
      <c r="H268" s="1153"/>
      <c r="I268" s="1153"/>
      <c r="J268" s="999" t="e">
        <f>IF(OR(F270=0,J269=0),$R$3,"")</f>
        <v>#DIV/0!</v>
      </c>
      <c r="K268" s="1251"/>
      <c r="L268" s="1252"/>
      <c r="M268" s="1252"/>
      <c r="N268" s="1252"/>
      <c r="O268" s="1252"/>
    </row>
    <row r="269" spans="2:15" ht="16" thickBot="1">
      <c r="D269" s="908"/>
      <c r="E269" s="559"/>
      <c r="F269" s="1065"/>
      <c r="G269" s="924"/>
      <c r="H269" s="925"/>
      <c r="I269" s="926" t="s">
        <v>1364</v>
      </c>
      <c r="J269" s="929" t="e">
        <f>重み!M95</f>
        <v>#DIV/0!</v>
      </c>
      <c r="K269" s="1251"/>
      <c r="L269" s="1252"/>
      <c r="M269" s="1252"/>
      <c r="N269" s="1252"/>
      <c r="O269" s="1252"/>
    </row>
    <row r="270" spans="2:15" ht="27" customHeight="1" thickBot="1">
      <c r="D270" s="908"/>
      <c r="E270" s="559"/>
      <c r="F270" s="2056" t="e">
        <f>ROUND((G280*G279+J280*J279)/(G279+J279),1)</f>
        <v>#DIV/0!</v>
      </c>
      <c r="G270" s="1132" t="s">
        <v>597</v>
      </c>
      <c r="H270" s="1231"/>
      <c r="I270" s="1046" t="s">
        <v>598</v>
      </c>
      <c r="J270" s="1232"/>
      <c r="K270" s="1251"/>
      <c r="L270" s="1252"/>
      <c r="M270" s="1252"/>
      <c r="N270" s="1252"/>
      <c r="O270" s="1252"/>
    </row>
    <row r="271" spans="2:15" ht="21" customHeight="1">
      <c r="B271" s="1">
        <v>1</v>
      </c>
      <c r="C271" s="1">
        <v>1</v>
      </c>
      <c r="D271" s="908"/>
      <c r="E271" s="559"/>
      <c r="F271" s="937" t="e">
        <f>IF(F270=$S$15,$T$10,IF(ROUNDDOWN(F270,0)=$S$10,$U$10,$T$10))</f>
        <v>#DIV/0!</v>
      </c>
      <c r="G271" s="3144" t="s">
        <v>397</v>
      </c>
      <c r="H271" s="3150"/>
      <c r="I271" s="3144" t="s">
        <v>397</v>
      </c>
      <c r="J271" s="3162"/>
      <c r="K271" s="1251"/>
      <c r="L271" s="1252"/>
      <c r="M271" s="1252"/>
      <c r="N271" s="1252"/>
      <c r="O271" s="1252"/>
    </row>
    <row r="272" spans="2:15" ht="21" customHeight="1">
      <c r="B272" s="1">
        <v>2</v>
      </c>
      <c r="C272" s="1">
        <v>2</v>
      </c>
      <c r="D272" s="908"/>
      <c r="E272" s="559"/>
      <c r="F272" s="942" t="e">
        <f>IF(F270=$S$15,$T$11,IF(ROUNDDOWN(F270,0)=$S$11,$U$11,$T$11))</f>
        <v>#DIV/0!</v>
      </c>
      <c r="G272" s="3148" t="s">
        <v>599</v>
      </c>
      <c r="H272" s="3149"/>
      <c r="I272" s="3148" t="s">
        <v>599</v>
      </c>
      <c r="J272" s="3149"/>
      <c r="K272" s="1251"/>
      <c r="L272" s="1252"/>
      <c r="M272" s="1252"/>
      <c r="N272" s="1252"/>
      <c r="O272" s="1252"/>
    </row>
    <row r="273" spans="2:15" ht="21" customHeight="1">
      <c r="B273" s="1">
        <v>3</v>
      </c>
      <c r="C273" s="1">
        <v>3</v>
      </c>
      <c r="D273" s="908"/>
      <c r="E273" s="559"/>
      <c r="F273" s="942" t="e">
        <f>IF(F270=$S$15,$T$12,IF(ROUNDDOWN(F270,0)=$S$12,$U$12,$T$12))</f>
        <v>#DIV/0!</v>
      </c>
      <c r="G273" s="3148" t="s">
        <v>1812</v>
      </c>
      <c r="H273" s="3149"/>
      <c r="I273" s="3148" t="s">
        <v>1812</v>
      </c>
      <c r="J273" s="3149"/>
      <c r="K273" s="1251"/>
      <c r="L273" s="1252"/>
      <c r="M273" s="1252"/>
      <c r="N273" s="1252"/>
      <c r="O273" s="1252"/>
    </row>
    <row r="274" spans="2:15" ht="21" customHeight="1">
      <c r="B274" s="1">
        <v>4</v>
      </c>
      <c r="C274" s="1">
        <v>4</v>
      </c>
      <c r="D274" s="908"/>
      <c r="E274" s="559"/>
      <c r="F274" s="942" t="e">
        <f>IF(F270=$S$15,$T$13,IF(ROUNDDOWN(F270,0)=$S$13,$U$13,$T$13))</f>
        <v>#DIV/0!</v>
      </c>
      <c r="G274" s="3148" t="s">
        <v>36</v>
      </c>
      <c r="H274" s="3149"/>
      <c r="I274" s="3148" t="s">
        <v>2178</v>
      </c>
      <c r="J274" s="3149"/>
      <c r="K274" s="1251"/>
      <c r="L274" s="1252"/>
      <c r="M274" s="1252"/>
      <c r="N274" s="1252"/>
      <c r="O274" s="1252"/>
    </row>
    <row r="275" spans="2:15" ht="21" customHeight="1" thickBot="1">
      <c r="B275" s="1">
        <v>5</v>
      </c>
      <c r="C275" s="1">
        <v>5</v>
      </c>
      <c r="D275" s="908"/>
      <c r="E275" s="559"/>
      <c r="F275" s="953" t="e">
        <f>IF(F270=$S$15,$T$14,IF(ROUNDDOWN(F270,0)=$S$14,$U$14,$T$14))</f>
        <v>#DIV/0!</v>
      </c>
      <c r="G275" s="3146" t="s">
        <v>37</v>
      </c>
      <c r="H275" s="3147"/>
      <c r="I275" s="3146" t="s">
        <v>38</v>
      </c>
      <c r="J275" s="3147"/>
      <c r="K275" s="1251"/>
      <c r="L275" s="1252"/>
      <c r="M275" s="1252"/>
      <c r="N275" s="1252"/>
      <c r="O275" s="1252"/>
    </row>
    <row r="276" spans="2:15" ht="16" thickBot="1">
      <c r="B276" s="960">
        <v>0</v>
      </c>
      <c r="C276" s="960">
        <v>0</v>
      </c>
      <c r="D276" s="908"/>
      <c r="E276" s="559"/>
      <c r="F276" s="930">
        <v>0</v>
      </c>
      <c r="G276" s="1158" t="s">
        <v>2666</v>
      </c>
      <c r="H276" s="2777" t="s">
        <v>3339</v>
      </c>
      <c r="I276" s="1236"/>
      <c r="J276" s="1235"/>
      <c r="K276" s="1251"/>
      <c r="L276" s="1252"/>
      <c r="M276" s="1252"/>
      <c r="N276" s="1252"/>
      <c r="O276" s="1252"/>
    </row>
    <row r="277" spans="2:15" ht="15.5">
      <c r="D277" s="908"/>
      <c r="E277" s="559"/>
      <c r="F277" s="2833" t="s">
        <v>2678</v>
      </c>
      <c r="I277" s="1228"/>
      <c r="K277" s="1251"/>
      <c r="L277" s="1252"/>
      <c r="M277" s="1252"/>
      <c r="N277" s="1252"/>
      <c r="O277" s="1252"/>
    </row>
    <row r="278" spans="2:15" ht="15.5">
      <c r="D278" s="908"/>
      <c r="E278" s="559"/>
      <c r="F278" s="1253" t="s">
        <v>423</v>
      </c>
      <c r="G278" s="1239" t="s">
        <v>1813</v>
      </c>
      <c r="H278" s="1240"/>
      <c r="I278" s="1240"/>
      <c r="J278" s="1239" t="s">
        <v>1586</v>
      </c>
      <c r="K278" s="1240"/>
      <c r="L278" s="1240"/>
      <c r="M278" s="1252"/>
      <c r="N278" s="1252"/>
      <c r="O278" s="1252"/>
    </row>
    <row r="279" spans="2:15" ht="15.5">
      <c r="D279" s="908"/>
      <c r="E279" s="559"/>
      <c r="F279" s="1241" t="s">
        <v>427</v>
      </c>
      <c r="G279" s="1242">
        <f>メイン!J47+メイン!J49+メイン!J57+メイン!J61+メイン!J62+メイン!J64+メイン!J60</f>
        <v>0</v>
      </c>
      <c r="H279" s="1254"/>
      <c r="I279" s="1243"/>
      <c r="J279" s="1242">
        <f>メイン!J54+メイン!J56</f>
        <v>0</v>
      </c>
      <c r="K279" s="1254"/>
      <c r="L279" s="1243"/>
      <c r="M279" s="1252"/>
      <c r="N279" s="1252"/>
      <c r="O279" s="1252"/>
    </row>
    <row r="280" spans="2:15" ht="16" thickBot="1">
      <c r="D280" s="908"/>
      <c r="E280" s="559"/>
      <c r="F280" s="1244" t="s">
        <v>428</v>
      </c>
      <c r="G280" s="2843">
        <f>IF(H276=T4,F276,IF(G288&lt;1,1,IF(G288=1,2,IF(G288=2,3,IF(G288=3,4,5)))))</f>
        <v>3</v>
      </c>
      <c r="H280" s="1245"/>
      <c r="I280" s="1245"/>
      <c r="J280" s="2843">
        <f>IF(H276=T4,F276,IF(J288&lt;1,1,IF(J288=1,2,IF(J288=2,3,5))))</f>
        <v>3</v>
      </c>
      <c r="K280" s="1245"/>
      <c r="L280" s="1245"/>
      <c r="M280" s="1252"/>
      <c r="N280" s="1252"/>
      <c r="O280" s="1252"/>
    </row>
    <row r="281" spans="2:15" ht="45" customHeight="1">
      <c r="D281" s="908"/>
      <c r="E281" s="559"/>
      <c r="F281" s="1246" t="s">
        <v>2671</v>
      </c>
      <c r="G281" s="3279" t="s">
        <v>600</v>
      </c>
      <c r="H281" s="3164"/>
      <c r="I281" s="3164"/>
      <c r="J281" s="3164"/>
      <c r="K281" s="3164"/>
      <c r="L281" s="3150"/>
      <c r="M281" s="1252"/>
      <c r="N281" s="1252"/>
      <c r="O281" s="1252"/>
    </row>
    <row r="282" spans="2:15" ht="15.75" customHeight="1">
      <c r="D282" s="908"/>
      <c r="E282" s="559"/>
      <c r="F282" s="1249"/>
      <c r="G282" s="3260" t="s">
        <v>601</v>
      </c>
      <c r="H282" s="3261"/>
      <c r="I282" s="3261"/>
      <c r="J282" s="3261"/>
      <c r="K282" s="3261"/>
      <c r="L282" s="3262"/>
      <c r="M282" s="1252"/>
      <c r="N282" s="1252"/>
      <c r="O282" s="1252"/>
    </row>
    <row r="283" spans="2:15" ht="31.5" customHeight="1">
      <c r="D283" s="908"/>
      <c r="E283" s="559"/>
      <c r="F283" s="1249"/>
      <c r="G283" s="3260" t="s">
        <v>602</v>
      </c>
      <c r="H283" s="3261"/>
      <c r="I283" s="3261"/>
      <c r="J283" s="3261"/>
      <c r="K283" s="3261"/>
      <c r="L283" s="3262"/>
      <c r="M283" s="1252"/>
      <c r="N283" s="1252"/>
      <c r="O283" s="1252"/>
    </row>
    <row r="284" spans="2:15" ht="15.75" customHeight="1">
      <c r="D284" s="908"/>
      <c r="E284" s="559"/>
      <c r="F284" s="1249" t="s">
        <v>2671</v>
      </c>
      <c r="G284" s="3260" t="s">
        <v>603</v>
      </c>
      <c r="H284" s="3261"/>
      <c r="I284" s="3261"/>
      <c r="J284" s="3261"/>
      <c r="K284" s="3261"/>
      <c r="L284" s="3262"/>
      <c r="M284" s="1252"/>
      <c r="N284" s="1252"/>
      <c r="O284" s="1252"/>
    </row>
    <row r="285" spans="2:15" ht="15.75" customHeight="1">
      <c r="D285" s="908"/>
      <c r="E285" s="559"/>
      <c r="F285" s="1249"/>
      <c r="G285" s="3260" t="s">
        <v>604</v>
      </c>
      <c r="H285" s="3261"/>
      <c r="I285" s="3261"/>
      <c r="J285" s="3261"/>
      <c r="K285" s="3261"/>
      <c r="L285" s="3262"/>
      <c r="M285" s="1252"/>
      <c r="N285" s="1252"/>
      <c r="O285" s="1252"/>
    </row>
    <row r="286" spans="2:15" ht="36.75" customHeight="1">
      <c r="D286" s="908"/>
      <c r="E286" s="559"/>
      <c r="F286" s="1249"/>
      <c r="G286" s="3260" t="s">
        <v>1814</v>
      </c>
      <c r="H286" s="3261"/>
      <c r="I286" s="3261"/>
      <c r="J286" s="3261"/>
      <c r="K286" s="3261"/>
      <c r="L286" s="3262"/>
      <c r="M286" s="1252"/>
      <c r="N286" s="1252"/>
      <c r="O286" s="1252"/>
    </row>
    <row r="287" spans="2:15" ht="20.25" customHeight="1" thickBot="1">
      <c r="D287" s="908"/>
      <c r="E287" s="559"/>
      <c r="F287" s="2096"/>
      <c r="G287" s="3244" t="s">
        <v>35</v>
      </c>
      <c r="H287" s="3245"/>
      <c r="I287" s="3245"/>
      <c r="J287" s="3245"/>
      <c r="K287" s="3245"/>
      <c r="L287" s="3246"/>
      <c r="M287" s="1252"/>
      <c r="N287" s="1252"/>
      <c r="O287" s="1252"/>
    </row>
    <row r="288" spans="2:15" ht="15.5">
      <c r="D288" s="908"/>
      <c r="E288" s="559"/>
      <c r="F288" s="2098" t="s">
        <v>39</v>
      </c>
      <c r="G288" s="2845">
        <f>COUNTIF(F281:F287,$S$3)</f>
        <v>2</v>
      </c>
      <c r="H288" s="1245"/>
      <c r="I288" s="1245"/>
      <c r="J288" s="2845">
        <f>G288-COUNTIF(F286,$S$3)</f>
        <v>2</v>
      </c>
      <c r="K288" s="1245"/>
      <c r="L288" s="1245"/>
      <c r="M288" s="1252"/>
      <c r="N288" s="1252"/>
      <c r="O288" s="1252"/>
    </row>
    <row r="289" spans="2:15" ht="15.5">
      <c r="D289" s="908"/>
      <c r="E289" s="559"/>
      <c r="F289" s="1251"/>
      <c r="G289" s="1252"/>
      <c r="H289" s="1252"/>
      <c r="I289" s="1252"/>
      <c r="J289" s="1252"/>
      <c r="K289" s="1251"/>
      <c r="L289" s="1252"/>
      <c r="M289" s="1252"/>
      <c r="N289" s="1252"/>
      <c r="O289" s="1252"/>
    </row>
    <row r="290" spans="2:15" ht="15.5">
      <c r="D290" s="908"/>
      <c r="E290" s="559"/>
      <c r="F290" s="1084" t="s">
        <v>1815</v>
      </c>
      <c r="G290" s="1153"/>
      <c r="H290" s="1153"/>
      <c r="I290" s="1153"/>
      <c r="J290" s="999" t="e">
        <f>IF(OR(F292=0,J291=0),$R$3,"")</f>
        <v>#DIV/0!</v>
      </c>
      <c r="K290" s="1152"/>
      <c r="L290" s="1152"/>
      <c r="M290" s="1252"/>
      <c r="N290" s="1252"/>
      <c r="O290" s="1252"/>
    </row>
    <row r="291" spans="2:15" ht="16" thickBot="1">
      <c r="D291" s="908"/>
      <c r="E291" s="1229"/>
      <c r="F291" s="1065"/>
      <c r="G291" s="924"/>
      <c r="H291" s="925"/>
      <c r="I291" s="926" t="s">
        <v>1364</v>
      </c>
      <c r="J291" s="927" t="e">
        <f>重み!M96</f>
        <v>#DIV/0!</v>
      </c>
      <c r="K291" s="1066"/>
      <c r="L291" s="1066"/>
      <c r="M291" s="1066"/>
      <c r="N291" s="1068"/>
      <c r="O291" s="962"/>
    </row>
    <row r="292" spans="2:15" ht="27" customHeight="1" thickBot="1">
      <c r="D292" s="908"/>
      <c r="E292" s="1229"/>
      <c r="F292" s="2056">
        <f>IF(メイン!J66&gt;2000,G301,K301)</f>
        <v>5</v>
      </c>
      <c r="G292" s="1132" t="s">
        <v>835</v>
      </c>
      <c r="H292" s="1231"/>
      <c r="I292" s="1046"/>
      <c r="J292" s="1264"/>
      <c r="K292" s="2100" t="s">
        <v>42</v>
      </c>
      <c r="L292" s="1231"/>
      <c r="M292" s="1046"/>
      <c r="N292" s="1232"/>
      <c r="O292" s="962"/>
    </row>
    <row r="293" spans="2:15" ht="21" customHeight="1">
      <c r="B293" s="1">
        <v>1</v>
      </c>
      <c r="C293" s="1">
        <v>1</v>
      </c>
      <c r="D293" s="908"/>
      <c r="E293" s="1059"/>
      <c r="F293" s="937" t="str">
        <f>IF(F292=$S$15,$T$10,IF(ROUNDDOWN(F292,0)=$S$10,$U$10,$T$10))</f>
        <v>　レベル　1</v>
      </c>
      <c r="G293" s="3231" t="s">
        <v>397</v>
      </c>
      <c r="H293" s="3232"/>
      <c r="I293" s="3232"/>
      <c r="J293" s="3311"/>
      <c r="K293" s="3231" t="s">
        <v>359</v>
      </c>
      <c r="L293" s="3232"/>
      <c r="M293" s="3232"/>
      <c r="N293" s="3311"/>
      <c r="O293" s="962"/>
    </row>
    <row r="294" spans="2:15" ht="21" customHeight="1">
      <c r="B294" s="1" t="s">
        <v>228</v>
      </c>
      <c r="C294" s="1">
        <v>2</v>
      </c>
      <c r="D294" s="908"/>
      <c r="E294" s="1059"/>
      <c r="F294" s="942" t="str">
        <f>IF(F292=$S$15,$T$11,IF(ROUNDDOWN(F292,0)=$S$11,$U$11,$T$11))</f>
        <v>　レベル　2</v>
      </c>
      <c r="G294" s="3227" t="s">
        <v>2178</v>
      </c>
      <c r="H294" s="3228"/>
      <c r="I294" s="3229"/>
      <c r="J294" s="3230"/>
      <c r="K294" s="3227" t="s">
        <v>2178</v>
      </c>
      <c r="L294" s="3228"/>
      <c r="M294" s="3229"/>
      <c r="N294" s="3230"/>
      <c r="O294" s="962"/>
    </row>
    <row r="295" spans="2:15" ht="21" customHeight="1">
      <c r="B295" s="1">
        <v>3</v>
      </c>
      <c r="C295" s="1">
        <v>3</v>
      </c>
      <c r="D295" s="908"/>
      <c r="E295" s="1059"/>
      <c r="F295" s="942" t="str">
        <f>IF(F292=$S$15,$T$12,IF(ROUNDDOWN(F292,0)=$S$12,$U$12,$T$12))</f>
        <v>　レベル　3</v>
      </c>
      <c r="G295" s="3227" t="s">
        <v>43</v>
      </c>
      <c r="H295" s="3228"/>
      <c r="I295" s="3229"/>
      <c r="J295" s="3230"/>
      <c r="K295" s="3227" t="s">
        <v>50</v>
      </c>
      <c r="L295" s="3228"/>
      <c r="M295" s="3229"/>
      <c r="N295" s="3230"/>
      <c r="O295" s="962"/>
    </row>
    <row r="296" spans="2:15" ht="21" customHeight="1">
      <c r="B296" s="1">
        <v>4</v>
      </c>
      <c r="C296" s="1">
        <v>4</v>
      </c>
      <c r="D296" s="908"/>
      <c r="E296" s="1059"/>
      <c r="F296" s="942" t="str">
        <f>IF(F292=$S$15,$T$13,IF(ROUNDDOWN(F292,0)=$S$13,$U$13,$T$13))</f>
        <v>　レベル　4</v>
      </c>
      <c r="G296" s="3227" t="s">
        <v>36</v>
      </c>
      <c r="H296" s="3228"/>
      <c r="I296" s="3229"/>
      <c r="J296" s="3230"/>
      <c r="K296" s="3227" t="s">
        <v>51</v>
      </c>
      <c r="L296" s="3228"/>
      <c r="M296" s="3229"/>
      <c r="N296" s="3230"/>
      <c r="O296" s="962"/>
    </row>
    <row r="297" spans="2:15" ht="21" customHeight="1" thickBot="1">
      <c r="B297" s="1">
        <v>5</v>
      </c>
      <c r="C297" s="1">
        <v>5</v>
      </c>
      <c r="D297" s="908"/>
      <c r="E297" s="1059"/>
      <c r="F297" s="953" t="str">
        <f>IF(F292=$S$15,$T$14,IF(ROUNDDOWN(F292,0)=$S$14,$U$14,$T$14))</f>
        <v>■レベル　5</v>
      </c>
      <c r="G297" s="3306" t="s">
        <v>37</v>
      </c>
      <c r="H297" s="3307"/>
      <c r="I297" s="3308"/>
      <c r="J297" s="3309"/>
      <c r="K297" s="3306" t="s">
        <v>52</v>
      </c>
      <c r="L297" s="3307"/>
      <c r="M297" s="3308"/>
      <c r="N297" s="3309"/>
      <c r="O297" s="962"/>
    </row>
    <row r="298" spans="2:15" ht="16" thickBot="1">
      <c r="B298" s="960">
        <v>0</v>
      </c>
      <c r="C298" s="960">
        <v>0</v>
      </c>
      <c r="D298" s="1010"/>
      <c r="E298" s="1256"/>
      <c r="F298" s="930">
        <v>0</v>
      </c>
      <c r="G298" s="1158" t="s">
        <v>2666</v>
      </c>
      <c r="H298" s="2777" t="s">
        <v>3339</v>
      </c>
      <c r="J298" s="1235"/>
      <c r="K298" s="1236"/>
      <c r="L298" s="1236"/>
      <c r="M298" s="1006"/>
      <c r="N298" s="1006"/>
      <c r="O298" s="1006"/>
    </row>
    <row r="299" spans="2:15" ht="15.5">
      <c r="D299" s="908"/>
      <c r="E299" s="559"/>
      <c r="F299" s="2833" t="s">
        <v>2678</v>
      </c>
      <c r="I299" s="1102"/>
      <c r="J299" s="1238"/>
      <c r="K299" s="1228"/>
      <c r="L299" s="1228"/>
      <c r="M299" s="1116"/>
      <c r="N299" s="1116"/>
      <c r="O299" s="1116"/>
    </row>
    <row r="300" spans="2:15" ht="15.5">
      <c r="D300" s="908"/>
      <c r="E300" s="559"/>
      <c r="F300" s="1257" t="s">
        <v>1816</v>
      </c>
      <c r="G300" s="1239" t="s">
        <v>48</v>
      </c>
      <c r="H300" s="1258"/>
      <c r="I300" s="1239"/>
      <c r="J300" s="1258"/>
      <c r="K300" s="1239" t="s">
        <v>49</v>
      </c>
      <c r="L300" s="1258"/>
      <c r="M300" s="1239"/>
      <c r="N300" s="1258"/>
      <c r="O300" s="1116"/>
    </row>
    <row r="301" spans="2:15" ht="16" thickBot="1">
      <c r="D301" s="908"/>
      <c r="E301" s="559"/>
      <c r="F301" s="1259" t="s">
        <v>428</v>
      </c>
      <c r="G301" s="2844">
        <f>IF(H298=T4,F298,IF(G308&lt;1,1,IF(G308&lt;=2,3,IF(G308=3,4,IF(G308&gt;=4,5)))))</f>
        <v>3</v>
      </c>
      <c r="H301" s="1261"/>
      <c r="I301" s="1260"/>
      <c r="J301" s="1261"/>
      <c r="K301" s="2844">
        <f>IF(H298=T4,F298,IF(K308=1,4,IF(K308&gt;=2,5,3)))</f>
        <v>5</v>
      </c>
      <c r="L301" s="1261"/>
      <c r="M301" s="1260"/>
      <c r="N301" s="1261"/>
      <c r="O301" s="1116"/>
    </row>
    <row r="302" spans="2:15" ht="15.75" customHeight="1">
      <c r="D302" s="908"/>
      <c r="E302" s="1237"/>
      <c r="F302" s="1246" t="s">
        <v>2671</v>
      </c>
      <c r="G302" s="3273" t="s">
        <v>40</v>
      </c>
      <c r="H302" s="3274"/>
      <c r="I302" s="3274"/>
      <c r="J302" s="3274"/>
      <c r="K302" s="3274"/>
      <c r="L302" s="3274"/>
      <c r="M302" s="3274"/>
      <c r="N302" s="3275"/>
      <c r="O302" s="1116"/>
    </row>
    <row r="303" spans="2:15" ht="15.75" customHeight="1">
      <c r="D303" s="908"/>
      <c r="E303" s="1237"/>
      <c r="F303" s="1249" t="s">
        <v>2671</v>
      </c>
      <c r="G303" s="3276" t="s">
        <v>605</v>
      </c>
      <c r="H303" s="3261"/>
      <c r="I303" s="3261"/>
      <c r="J303" s="3261"/>
      <c r="K303" s="3261"/>
      <c r="L303" s="3261"/>
      <c r="M303" s="3261"/>
      <c r="N303" s="3262"/>
      <c r="O303" s="1116"/>
    </row>
    <row r="304" spans="2:15" ht="15.5">
      <c r="D304" s="908"/>
      <c r="E304" s="1237"/>
      <c r="F304" s="1249"/>
      <c r="G304" s="3276" t="s">
        <v>44</v>
      </c>
      <c r="H304" s="3261"/>
      <c r="I304" s="3261"/>
      <c r="J304" s="3261"/>
      <c r="K304" s="3261"/>
      <c r="L304" s="3261"/>
      <c r="M304" s="3261"/>
      <c r="N304" s="3262"/>
      <c r="O304" s="1116"/>
    </row>
    <row r="305" spans="2:15" ht="72.75" customHeight="1">
      <c r="D305" s="908"/>
      <c r="E305" s="1237"/>
      <c r="F305" s="2095"/>
      <c r="G305" s="3260" t="s">
        <v>45</v>
      </c>
      <c r="H305" s="3261"/>
      <c r="I305" s="3261"/>
      <c r="J305" s="3261"/>
      <c r="K305" s="3261"/>
      <c r="L305" s="3261"/>
      <c r="M305" s="3261"/>
      <c r="N305" s="3262"/>
      <c r="O305" s="1116"/>
    </row>
    <row r="306" spans="2:15" ht="15.5">
      <c r="B306" s="1630"/>
      <c r="C306" s="1630"/>
      <c r="D306" s="908"/>
      <c r="E306" s="1237"/>
      <c r="F306" s="2095"/>
      <c r="G306" s="3276" t="s">
        <v>46</v>
      </c>
      <c r="H306" s="3261"/>
      <c r="I306" s="3261"/>
      <c r="J306" s="3261"/>
      <c r="K306" s="3261"/>
      <c r="L306" s="3261"/>
      <c r="M306" s="3261"/>
      <c r="N306" s="3262"/>
      <c r="O306" s="1116"/>
    </row>
    <row r="307" spans="2:15" ht="16" thickBot="1">
      <c r="D307" s="908"/>
      <c r="E307" s="1237"/>
      <c r="F307" s="1255"/>
      <c r="G307" s="3257" t="s">
        <v>47</v>
      </c>
      <c r="H307" s="3193"/>
      <c r="I307" s="3193"/>
      <c r="J307" s="3193"/>
      <c r="K307" s="3193"/>
      <c r="L307" s="3193"/>
      <c r="M307" s="3193"/>
      <c r="N307" s="3194"/>
      <c r="O307" s="1116"/>
    </row>
    <row r="308" spans="2:15" s="2687" customFormat="1" ht="15.5">
      <c r="D308" s="908"/>
      <c r="E308" s="1237"/>
      <c r="F308" s="2098" t="s">
        <v>39</v>
      </c>
      <c r="G308" s="2846">
        <f>COUNTIF(F302:F307,$S$3)</f>
        <v>2</v>
      </c>
      <c r="H308" s="2846"/>
      <c r="I308" s="2846"/>
      <c r="J308" s="2846"/>
      <c r="K308" s="2847">
        <f>COUNTIF(F306:F307,$S$3)+COUNTIF(F302:F304,$S$3)</f>
        <v>2</v>
      </c>
      <c r="L308" s="2846"/>
      <c r="M308" s="2846"/>
      <c r="N308" s="2848"/>
      <c r="O308" s="1116"/>
    </row>
    <row r="309" spans="2:15" ht="15.5">
      <c r="D309" s="908"/>
      <c r="E309" s="559"/>
      <c r="F309" s="1102"/>
      <c r="G309" s="1263"/>
      <c r="H309" s="1263"/>
      <c r="I309" s="1263"/>
      <c r="J309" s="1251"/>
      <c r="K309" s="1263"/>
      <c r="L309" s="1263"/>
      <c r="M309" s="1116"/>
      <c r="N309" s="1116"/>
      <c r="O309" s="1116"/>
    </row>
    <row r="310" spans="2:15" ht="15.5">
      <c r="D310" s="908"/>
      <c r="E310" s="559"/>
      <c r="F310" s="1084" t="s">
        <v>606</v>
      </c>
      <c r="G310" s="1153"/>
      <c r="H310" s="1153"/>
      <c r="I310" s="1153"/>
      <c r="J310" s="999" t="e">
        <f>IF(OR(F312=0,J311=0),$R$3,"")</f>
        <v>#DIV/0!</v>
      </c>
      <c r="K310" s="1263"/>
      <c r="L310" s="1263"/>
      <c r="M310" s="1116"/>
      <c r="N310" s="1116"/>
      <c r="O310" s="1116"/>
    </row>
    <row r="311" spans="2:15" ht="16" thickBot="1">
      <c r="D311" s="908"/>
      <c r="E311" s="559"/>
      <c r="F311" s="1065"/>
      <c r="G311" s="924"/>
      <c r="H311" s="925"/>
      <c r="I311" s="926" t="s">
        <v>1364</v>
      </c>
      <c r="J311" s="927" t="e">
        <f>重み!M97</f>
        <v>#DIV/0!</v>
      </c>
      <c r="K311" s="1066"/>
      <c r="L311" s="1066"/>
      <c r="M311" s="1066"/>
      <c r="N311" s="1066"/>
      <c r="O311" s="936"/>
    </row>
    <row r="312" spans="2:15" ht="27" customHeight="1" thickBot="1">
      <c r="D312" s="908"/>
      <c r="E312" s="559"/>
      <c r="F312" s="930">
        <v>3</v>
      </c>
      <c r="G312" s="934" t="s">
        <v>835</v>
      </c>
      <c r="H312" s="935"/>
      <c r="I312" s="935"/>
      <c r="J312" s="935"/>
      <c r="K312" s="935"/>
      <c r="L312" s="1264"/>
      <c r="M312" s="935"/>
      <c r="N312" s="935"/>
      <c r="O312" s="936"/>
    </row>
    <row r="313" spans="2:15" ht="21" customHeight="1">
      <c r="B313" s="1">
        <v>1</v>
      </c>
      <c r="C313" s="1">
        <v>1</v>
      </c>
      <c r="D313" s="908"/>
      <c r="E313" s="559"/>
      <c r="F313" s="937" t="str">
        <f>IF(F312=$S$15,$T$10,IF(ROUNDDOWN(F312,0)=$S$10,$U$10,$T$10))</f>
        <v>　レベル　1</v>
      </c>
      <c r="G313" s="939" t="s">
        <v>413</v>
      </c>
      <c r="H313" s="940"/>
      <c r="I313" s="940"/>
      <c r="J313" s="940"/>
      <c r="K313" s="940"/>
      <c r="L313" s="1265"/>
      <c r="M313" s="940"/>
      <c r="N313" s="940"/>
      <c r="O313" s="941"/>
    </row>
    <row r="314" spans="2:15" ht="21" customHeight="1">
      <c r="B314" s="1" t="s">
        <v>1509</v>
      </c>
      <c r="C314" s="1">
        <v>2</v>
      </c>
      <c r="D314" s="908"/>
      <c r="E314" s="559"/>
      <c r="F314" s="942" t="str">
        <f>IF(F312=$S$15,$T$11,IF(ROUNDDOWN(F312,0)=$S$11,$U$11,$T$11))</f>
        <v>　レベル　2</v>
      </c>
      <c r="G314" s="946" t="s">
        <v>2178</v>
      </c>
      <c r="H314" s="947"/>
      <c r="I314" s="947"/>
      <c r="J314" s="947"/>
      <c r="K314" s="947"/>
      <c r="L314" s="1266"/>
      <c r="M314" s="947"/>
      <c r="N314" s="947"/>
      <c r="O314" s="948"/>
    </row>
    <row r="315" spans="2:15" ht="27" customHeight="1">
      <c r="B315" s="1">
        <v>3</v>
      </c>
      <c r="C315" s="1">
        <v>3</v>
      </c>
      <c r="D315" s="908"/>
      <c r="E315" s="559"/>
      <c r="F315" s="942" t="str">
        <f>IF(F312=$S$15,$T$12,IF(ROUNDDOWN(F312,0)=$S$12,$U$12,$T$12))</f>
        <v>■レベル　3</v>
      </c>
      <c r="G315" s="3148" t="s">
        <v>429</v>
      </c>
      <c r="H315" s="3314"/>
      <c r="I315" s="3314"/>
      <c r="J315" s="3314"/>
      <c r="K315" s="3314"/>
      <c r="L315" s="3314"/>
      <c r="M315" s="3314"/>
      <c r="N315" s="3314"/>
      <c r="O315" s="3315"/>
    </row>
    <row r="316" spans="2:15" ht="27" customHeight="1">
      <c r="B316" s="1">
        <v>4</v>
      </c>
      <c r="C316" s="1">
        <v>4</v>
      </c>
      <c r="D316" s="908"/>
      <c r="E316" s="559"/>
      <c r="F316" s="942" t="str">
        <f>IF(F312=$S$15,$T$13,IF(ROUNDDOWN(F312,0)=$S$13,$U$13,$T$13))</f>
        <v>　レベル　4</v>
      </c>
      <c r="G316" s="3148" t="s">
        <v>53</v>
      </c>
      <c r="H316" s="3314"/>
      <c r="I316" s="3314"/>
      <c r="J316" s="3314"/>
      <c r="K316" s="3314"/>
      <c r="L316" s="3314"/>
      <c r="M316" s="3314"/>
      <c r="N316" s="3314"/>
      <c r="O316" s="3315"/>
    </row>
    <row r="317" spans="2:15" ht="27" customHeight="1">
      <c r="B317" s="1">
        <v>5</v>
      </c>
      <c r="C317" s="1">
        <v>5</v>
      </c>
      <c r="D317" s="908"/>
      <c r="E317" s="559"/>
      <c r="F317" s="953" t="str">
        <f>IF(F312=$S$15,$T$14,IF(ROUNDDOWN(F312,0)=$S$14,$U$14,$T$14))</f>
        <v>　レベル　5</v>
      </c>
      <c r="G317" s="3146" t="s">
        <v>3398</v>
      </c>
      <c r="H317" s="3312"/>
      <c r="I317" s="3312"/>
      <c r="J317" s="3312"/>
      <c r="K317" s="3312"/>
      <c r="L317" s="3312"/>
      <c r="M317" s="3312"/>
      <c r="N317" s="3312"/>
      <c r="O317" s="3313"/>
    </row>
    <row r="318" spans="2:15" ht="15.5">
      <c r="B318" s="960">
        <v>0</v>
      </c>
      <c r="C318" s="960">
        <v>0</v>
      </c>
      <c r="D318" s="908"/>
      <c r="E318" s="559"/>
      <c r="F318" s="1102"/>
      <c r="G318" s="1263"/>
      <c r="H318" s="1263"/>
      <c r="I318" s="1263"/>
      <c r="J318" s="1251"/>
      <c r="K318" s="1263"/>
      <c r="L318" s="1263"/>
      <c r="M318" s="1116"/>
      <c r="N318" s="1116"/>
      <c r="O318" s="1116"/>
    </row>
    <row r="319" spans="2:15" ht="15.5">
      <c r="D319" s="908"/>
      <c r="E319" s="559"/>
      <c r="F319" s="1084" t="s">
        <v>607</v>
      </c>
      <c r="G319" s="1153"/>
      <c r="H319" s="1153"/>
      <c r="I319" s="1153"/>
      <c r="J319" s="999" t="e">
        <f>IF(OR(F321=0,J320=0),$R$3,"")</f>
        <v>#DIV/0!</v>
      </c>
      <c r="K319" s="1152"/>
      <c r="L319" s="1152"/>
      <c r="M319" s="1116"/>
      <c r="N319" s="1116"/>
      <c r="O319" s="1116"/>
    </row>
    <row r="320" spans="2:15" ht="16" thickBot="1">
      <c r="D320" s="908"/>
      <c r="E320" s="1229"/>
      <c r="F320" s="1065"/>
      <c r="G320" s="924"/>
      <c r="H320" s="925"/>
      <c r="I320" s="926" t="s">
        <v>1364</v>
      </c>
      <c r="J320" s="927" t="e">
        <f>重み!M98</f>
        <v>#DIV/0!</v>
      </c>
      <c r="K320" s="1066"/>
      <c r="L320" s="1066"/>
      <c r="M320" s="1066"/>
      <c r="N320" s="1066"/>
      <c r="O320" s="936"/>
    </row>
    <row r="321" spans="2:15" ht="27" customHeight="1" thickBot="1">
      <c r="D321" s="908"/>
      <c r="E321" s="1229"/>
      <c r="F321" s="2056">
        <f>IF(H327=T4,F327,IF(G336&lt;1,1,IF(COUNTIF(F330:F335,$S$3)=1,2,IF(G336=2,3,IF(G336=3,4,5)))))</f>
        <v>3</v>
      </c>
      <c r="G321" s="1132" t="s">
        <v>835</v>
      </c>
      <c r="H321" s="1231"/>
      <c r="I321" s="1268"/>
      <c r="J321" s="1232"/>
      <c r="K321" s="935"/>
      <c r="L321" s="1264"/>
      <c r="M321" s="935"/>
      <c r="N321" s="935"/>
      <c r="O321" s="936"/>
    </row>
    <row r="322" spans="2:15" ht="21" customHeight="1">
      <c r="B322" s="1">
        <v>1</v>
      </c>
      <c r="C322" s="1">
        <v>1</v>
      </c>
      <c r="D322" s="908"/>
      <c r="E322" s="1156"/>
      <c r="F322" s="937" t="str">
        <f>IF(F321=$S$15,$T$10,IF(ROUNDDOWN(F321,0)=$S$10,$U$10,$T$10))</f>
        <v>　レベル　1</v>
      </c>
      <c r="G322" s="2093" t="s">
        <v>397</v>
      </c>
      <c r="H322" s="1265"/>
      <c r="I322" s="1265"/>
      <c r="J322" s="1265"/>
      <c r="K322" s="940"/>
      <c r="L322" s="1265"/>
      <c r="M322" s="940"/>
      <c r="N322" s="940"/>
      <c r="O322" s="941"/>
    </row>
    <row r="323" spans="2:15" ht="21" customHeight="1">
      <c r="B323" s="1">
        <v>2</v>
      </c>
      <c r="C323" s="1">
        <v>2</v>
      </c>
      <c r="D323" s="908"/>
      <c r="E323" s="1156"/>
      <c r="F323" s="942" t="str">
        <f>IF(F321=$S$15,$T$11,IF(ROUNDDOWN(F321,0)=$S$11,$U$11,$T$11))</f>
        <v>　レベル　2</v>
      </c>
      <c r="G323" s="1103" t="s">
        <v>51</v>
      </c>
      <c r="H323" s="1266"/>
      <c r="I323" s="1266"/>
      <c r="J323" s="1266"/>
      <c r="K323" s="947"/>
      <c r="L323" s="1266"/>
      <c r="M323" s="947"/>
      <c r="N323" s="947"/>
      <c r="O323" s="948"/>
    </row>
    <row r="324" spans="2:15" ht="21" customHeight="1">
      <c r="B324" s="1">
        <v>3</v>
      </c>
      <c r="C324" s="1">
        <v>3</v>
      </c>
      <c r="D324" s="908"/>
      <c r="E324" s="1156"/>
      <c r="F324" s="942" t="str">
        <f>IF(F321=$S$15,$T$12,IF(ROUNDDOWN(F321,0)=$S$12,$U$12,$T$12))</f>
        <v>■レベル　3</v>
      </c>
      <c r="G324" s="1103" t="s">
        <v>1812</v>
      </c>
      <c r="H324" s="1266"/>
      <c r="I324" s="1266"/>
      <c r="J324" s="1266"/>
      <c r="K324" s="947"/>
      <c r="L324" s="1266"/>
      <c r="M324" s="947"/>
      <c r="N324" s="947"/>
      <c r="O324" s="948"/>
    </row>
    <row r="325" spans="2:15" ht="21" customHeight="1">
      <c r="B325" s="1">
        <v>4</v>
      </c>
      <c r="C325" s="1">
        <v>4</v>
      </c>
      <c r="D325" s="908"/>
      <c r="E325" s="1156"/>
      <c r="F325" s="942" t="str">
        <f>IF(F321=$S$15,$T$13,IF(ROUNDDOWN(F321,0)=$S$13,$U$13,$T$13))</f>
        <v>　レベル　4</v>
      </c>
      <c r="G325" s="1103" t="s">
        <v>36</v>
      </c>
      <c r="H325" s="1266"/>
      <c r="I325" s="1266"/>
      <c r="J325" s="1266"/>
      <c r="K325" s="947"/>
      <c r="L325" s="1266"/>
      <c r="M325" s="947"/>
      <c r="N325" s="947"/>
      <c r="O325" s="948"/>
    </row>
    <row r="326" spans="2:15" ht="21" customHeight="1" thickBot="1">
      <c r="B326" s="1">
        <v>5</v>
      </c>
      <c r="C326" s="1">
        <v>5</v>
      </c>
      <c r="D326" s="908"/>
      <c r="E326" s="1156"/>
      <c r="F326" s="953" t="str">
        <f>IF(F321=$S$15,$T$14,IF(ROUNDDOWN(F321,0)=$S$14,$U$14,$T$14))</f>
        <v>　レベル　5</v>
      </c>
      <c r="G326" s="1078" t="s">
        <v>55</v>
      </c>
      <c r="H326" s="1267"/>
      <c r="I326" s="1267"/>
      <c r="J326" s="1267"/>
      <c r="K326" s="958"/>
      <c r="L326" s="1267"/>
      <c r="M326" s="958"/>
      <c r="N326" s="958"/>
      <c r="O326" s="959"/>
    </row>
    <row r="327" spans="2:15" ht="16" thickBot="1">
      <c r="B327" s="960">
        <v>0</v>
      </c>
      <c r="C327" s="960">
        <v>0</v>
      </c>
      <c r="D327" s="1010"/>
      <c r="E327" s="1256"/>
      <c r="F327" s="930">
        <v>0</v>
      </c>
      <c r="G327" s="1158" t="s">
        <v>2666</v>
      </c>
      <c r="H327" s="2777" t="s">
        <v>3339</v>
      </c>
      <c r="I327" s="1236"/>
      <c r="J327" s="1235"/>
      <c r="K327" s="1236"/>
      <c r="L327" s="1236"/>
      <c r="M327" s="1006"/>
      <c r="N327" s="1006"/>
      <c r="O327" s="1006"/>
    </row>
    <row r="328" spans="2:15" ht="15.5">
      <c r="D328" s="908"/>
      <c r="E328" s="559"/>
      <c r="F328" s="2833" t="s">
        <v>2678</v>
      </c>
      <c r="I328" s="1102"/>
      <c r="K328" s="1228"/>
      <c r="L328" s="1228"/>
      <c r="M328" s="1116"/>
      <c r="N328" s="1116"/>
      <c r="O328" s="1116"/>
    </row>
    <row r="329" spans="2:15" ht="16" thickBot="1">
      <c r="D329" s="908"/>
      <c r="E329" s="559"/>
      <c r="F329" s="1257" t="s">
        <v>1816</v>
      </c>
      <c r="G329" s="1239" t="s">
        <v>48</v>
      </c>
      <c r="H329" s="1258"/>
      <c r="I329" s="1239"/>
      <c r="J329" s="1258"/>
      <c r="K329" s="1239"/>
      <c r="L329" s="1258"/>
      <c r="M329" s="1116"/>
      <c r="N329" s="1116"/>
      <c r="O329" s="1116"/>
    </row>
    <row r="330" spans="2:15" ht="15.75" customHeight="1">
      <c r="D330" s="908"/>
      <c r="E330" s="559"/>
      <c r="F330" s="1246"/>
      <c r="G330" s="1262" t="s">
        <v>1557</v>
      </c>
      <c r="H330" s="1269"/>
      <c r="I330" s="1269"/>
      <c r="J330" s="1269"/>
      <c r="K330" s="1269"/>
      <c r="L330" s="1270"/>
      <c r="M330" s="1116"/>
      <c r="N330" s="1116"/>
      <c r="O330" s="1116"/>
    </row>
    <row r="331" spans="2:15" ht="15.75" customHeight="1">
      <c r="D331" s="908"/>
      <c r="E331" s="559"/>
      <c r="F331" s="1249"/>
      <c r="G331" s="1207" t="s">
        <v>1558</v>
      </c>
      <c r="H331" s="1208"/>
      <c r="I331" s="1208"/>
      <c r="J331" s="1208"/>
      <c r="K331" s="1208"/>
      <c r="L331" s="1271"/>
      <c r="M331" s="1116"/>
      <c r="N331" s="1116"/>
      <c r="O331" s="1116"/>
    </row>
    <row r="332" spans="2:15" ht="87" customHeight="1">
      <c r="D332" s="908"/>
      <c r="E332" s="559"/>
      <c r="F332" s="2095"/>
      <c r="G332" s="3260" t="s">
        <v>54</v>
      </c>
      <c r="H332" s="3229"/>
      <c r="I332" s="3229"/>
      <c r="J332" s="3229"/>
      <c r="K332" s="3229"/>
      <c r="L332" s="3310"/>
      <c r="M332" s="1116"/>
      <c r="N332" s="1116"/>
      <c r="O332" s="1116"/>
    </row>
    <row r="333" spans="2:15" ht="15.75" customHeight="1">
      <c r="D333" s="908"/>
      <c r="E333" s="559"/>
      <c r="F333" s="2095"/>
      <c r="G333" s="2099" t="s">
        <v>56</v>
      </c>
      <c r="H333" s="2101"/>
      <c r="I333" s="2101"/>
      <c r="J333" s="2101"/>
      <c r="K333" s="2101"/>
      <c r="L333" s="2089"/>
      <c r="M333" s="1116"/>
      <c r="N333" s="1116"/>
      <c r="O333" s="1116"/>
    </row>
    <row r="334" spans="2:15" ht="15.75" customHeight="1">
      <c r="D334" s="908"/>
      <c r="E334" s="559"/>
      <c r="F334" s="2095" t="s">
        <v>2671</v>
      </c>
      <c r="G334" s="2099" t="s">
        <v>57</v>
      </c>
      <c r="H334" s="2101"/>
      <c r="I334" s="2101"/>
      <c r="J334" s="2101"/>
      <c r="K334" s="2101"/>
      <c r="L334" s="2089"/>
      <c r="M334" s="1116"/>
      <c r="N334" s="1116"/>
      <c r="O334" s="1116"/>
    </row>
    <row r="335" spans="2:15" ht="16" thickBot="1">
      <c r="D335" s="908"/>
      <c r="E335" s="1237"/>
      <c r="F335" s="1255" t="s">
        <v>2671</v>
      </c>
      <c r="G335" s="3257" t="s">
        <v>58</v>
      </c>
      <c r="H335" s="3277"/>
      <c r="I335" s="3277"/>
      <c r="J335" s="3277"/>
      <c r="K335" s="3277"/>
      <c r="L335" s="3278"/>
      <c r="M335" s="1116"/>
      <c r="N335" s="1116"/>
      <c r="O335" s="1116"/>
    </row>
    <row r="336" spans="2:15" s="2687" customFormat="1" ht="15.5">
      <c r="D336" s="908"/>
      <c r="E336" s="1237"/>
      <c r="F336" s="2098" t="s">
        <v>39</v>
      </c>
      <c r="G336" s="2845">
        <f>COUNTIF(F330:F335,$S$3)</f>
        <v>2</v>
      </c>
      <c r="H336" s="1245"/>
      <c r="I336" s="1245"/>
      <c r="J336" s="1245"/>
      <c r="K336" s="1245"/>
      <c r="L336" s="1245"/>
      <c r="M336" s="1116"/>
      <c r="N336" s="1116"/>
      <c r="O336" s="1116"/>
    </row>
    <row r="337" spans="2:15" ht="15.5">
      <c r="D337" s="908"/>
      <c r="E337" s="559"/>
      <c r="F337" s="1263"/>
      <c r="G337" s="1263"/>
      <c r="H337" s="1272"/>
      <c r="I337" s="1272"/>
      <c r="J337" s="1272"/>
      <c r="K337" s="1272"/>
      <c r="L337" s="1228"/>
      <c r="M337" s="1228"/>
      <c r="N337" s="1116"/>
      <c r="O337" s="1116"/>
    </row>
    <row r="338" spans="2:15" ht="15.5">
      <c r="D338" s="1326">
        <v>3</v>
      </c>
      <c r="E338" s="1143" t="s">
        <v>1245</v>
      </c>
      <c r="F338" s="1152"/>
      <c r="G338" s="1153"/>
      <c r="H338" s="1153"/>
      <c r="I338" s="1153"/>
      <c r="J338" s="1153"/>
      <c r="K338" s="1152"/>
      <c r="L338" s="1152"/>
      <c r="M338" s="1152"/>
      <c r="N338" s="1152"/>
      <c r="O338" s="1152"/>
    </row>
    <row r="339" spans="2:15" ht="15.5">
      <c r="D339" s="1326">
        <v>3.1</v>
      </c>
      <c r="E339" s="1143" t="s">
        <v>1817</v>
      </c>
      <c r="F339" s="1152"/>
      <c r="G339" s="1043"/>
      <c r="H339" s="1153"/>
      <c r="I339" s="1153"/>
      <c r="J339" s="1153"/>
      <c r="K339" s="1152"/>
      <c r="L339" s="1224"/>
      <c r="M339" s="1152"/>
      <c r="N339" s="1152"/>
      <c r="O339" s="1152"/>
    </row>
    <row r="340" spans="2:15" ht="15.5">
      <c r="D340" s="908"/>
      <c r="E340" s="913"/>
      <c r="F340" s="1084" t="s">
        <v>1559</v>
      </c>
      <c r="G340" s="996"/>
      <c r="H340" s="1045"/>
      <c r="I340" s="1025"/>
      <c r="J340" s="999" t="e">
        <f>IF(OR(F342=0,AND(J341=0,O341=0)),$R$3,"")</f>
        <v>#DIV/0!</v>
      </c>
      <c r="K340" s="1084"/>
      <c r="L340" s="996"/>
      <c r="M340" s="1045"/>
      <c r="N340" s="1025"/>
      <c r="O340" s="999"/>
    </row>
    <row r="341" spans="2:15" ht="16" thickBot="1">
      <c r="D341" s="908"/>
      <c r="E341" s="913"/>
      <c r="F341" s="923" t="s">
        <v>327</v>
      </c>
      <c r="G341" s="924"/>
      <c r="H341" s="925"/>
      <c r="I341" s="926" t="s">
        <v>1364</v>
      </c>
      <c r="J341" s="929" t="e">
        <f>重み!M102</f>
        <v>#DIV/0!</v>
      </c>
      <c r="K341" s="923" t="s">
        <v>1968</v>
      </c>
      <c r="L341" s="924"/>
      <c r="M341" s="925"/>
      <c r="N341" s="926" t="s">
        <v>1364</v>
      </c>
      <c r="O341" s="929" t="e">
        <f>重み!N102</f>
        <v>#DIV/0!</v>
      </c>
    </row>
    <row r="342" spans="2:15" ht="27" customHeight="1" thickBot="1">
      <c r="D342" s="908"/>
      <c r="E342" s="913"/>
      <c r="F342" s="930">
        <v>3</v>
      </c>
      <c r="G342" s="1046" t="s">
        <v>1818</v>
      </c>
      <c r="H342" s="936"/>
      <c r="I342" s="3151" t="s">
        <v>1819</v>
      </c>
      <c r="J342" s="3272"/>
      <c r="K342" s="930">
        <v>3</v>
      </c>
      <c r="L342" s="1046" t="s">
        <v>1560</v>
      </c>
      <c r="M342" s="936"/>
      <c r="N342" s="1046" t="s">
        <v>1561</v>
      </c>
      <c r="O342" s="936"/>
    </row>
    <row r="343" spans="2:15" ht="21" customHeight="1">
      <c r="B343" s="1">
        <v>1</v>
      </c>
      <c r="C343" s="1">
        <v>1</v>
      </c>
      <c r="D343" s="908"/>
      <c r="E343" s="913"/>
      <c r="F343" s="937" t="str">
        <f>IF(F342=$S$15,$T$10,IF(ROUNDDOWN(F342,0)=$S$10,$U$10,$T$10))</f>
        <v>　レベル　1</v>
      </c>
      <c r="G343" s="939" t="s">
        <v>1562</v>
      </c>
      <c r="H343" s="1227"/>
      <c r="I343" s="939" t="s">
        <v>1563</v>
      </c>
      <c r="J343" s="1273"/>
      <c r="K343" s="937" t="str">
        <f>IF(K342=$S$15,$T$10,IF(ROUNDDOWN(K342,0)=$S$10,$U$10,$T$10))</f>
        <v>　レベル　1</v>
      </c>
      <c r="L343" s="3144" t="s">
        <v>1562</v>
      </c>
      <c r="M343" s="3162"/>
      <c r="N343" s="3144" t="s">
        <v>1564</v>
      </c>
      <c r="O343" s="3162"/>
    </row>
    <row r="344" spans="2:15" ht="21" customHeight="1">
      <c r="B344" s="1">
        <v>2</v>
      </c>
      <c r="C344" s="1">
        <v>2</v>
      </c>
      <c r="D344" s="908"/>
      <c r="E344" s="913"/>
      <c r="F344" s="942" t="str">
        <f>IF(F342=$S$15,$T$11,IF(ROUNDDOWN(F342,0)=$S$11,$U$11,$T$11))</f>
        <v>　レベル　2</v>
      </c>
      <c r="G344" s="946" t="s">
        <v>1565</v>
      </c>
      <c r="H344" s="1086"/>
      <c r="I344" s="946" t="s">
        <v>1566</v>
      </c>
      <c r="J344" s="1274"/>
      <c r="K344" s="942" t="str">
        <f>IF(K342=$S$15,$T$11,IF(ROUNDDOWN(K342,0)=$S$11,$U$11,$T$11))</f>
        <v>　レベル　2</v>
      </c>
      <c r="L344" s="3148" t="s">
        <v>1820</v>
      </c>
      <c r="M344" s="3149"/>
      <c r="N344" s="3148" t="s">
        <v>1821</v>
      </c>
      <c r="O344" s="3149"/>
    </row>
    <row r="345" spans="2:15" ht="21" customHeight="1">
      <c r="B345" s="1">
        <v>3</v>
      </c>
      <c r="C345" s="1">
        <v>3</v>
      </c>
      <c r="D345" s="908"/>
      <c r="E345" s="913"/>
      <c r="F345" s="942" t="str">
        <f>IF(F342=$S$15,$T$12,IF(ROUNDDOWN(F342,0)=$S$12,$U$12,$T$12))</f>
        <v>■レベル　3</v>
      </c>
      <c r="G345" s="946" t="s">
        <v>1567</v>
      </c>
      <c r="H345" s="1086"/>
      <c r="I345" s="946" t="s">
        <v>1565</v>
      </c>
      <c r="J345" s="1274"/>
      <c r="K345" s="942" t="str">
        <f>IF(K342=$S$15,$T$12,IF(ROUNDDOWN(K342,0)=$S$12,$U$12,$T$12))</f>
        <v>■レベル　3</v>
      </c>
      <c r="L345" s="3148" t="s">
        <v>1567</v>
      </c>
      <c r="M345" s="3149"/>
      <c r="N345" s="3148" t="s">
        <v>1568</v>
      </c>
      <c r="O345" s="3149"/>
    </row>
    <row r="346" spans="2:15" ht="21" customHeight="1">
      <c r="B346" s="1">
        <v>4</v>
      </c>
      <c r="C346" s="1">
        <v>4</v>
      </c>
      <c r="D346" s="908"/>
      <c r="E346" s="913"/>
      <c r="F346" s="942" t="str">
        <f>IF(F342=$S$15,$T$13,IF(ROUNDDOWN(F342,0)=$S$13,$U$13,$T$13))</f>
        <v>　レベル　4</v>
      </c>
      <c r="G346" s="946" t="s">
        <v>1569</v>
      </c>
      <c r="H346" s="1086"/>
      <c r="I346" s="946" t="s">
        <v>1567</v>
      </c>
      <c r="J346" s="1274"/>
      <c r="K346" s="942" t="str">
        <f>IF(K342=$S$15,$T$13,IF(ROUNDDOWN(K342,0)=$S$13,$U$13,$T$13))</f>
        <v>　レベル　4</v>
      </c>
      <c r="L346" s="3148" t="s">
        <v>1822</v>
      </c>
      <c r="M346" s="3149"/>
      <c r="N346" s="3148" t="s">
        <v>1823</v>
      </c>
      <c r="O346" s="3149"/>
    </row>
    <row r="347" spans="2:15" ht="21" customHeight="1">
      <c r="B347" s="1">
        <v>5</v>
      </c>
      <c r="C347" s="1">
        <v>5</v>
      </c>
      <c r="D347" s="908"/>
      <c r="E347" s="913"/>
      <c r="F347" s="953" t="str">
        <f>IF(F342=$S$15,$T$14,IF(ROUNDDOWN(F342,0)=$S$14,$U$14,$T$14))</f>
        <v>　レベル　5</v>
      </c>
      <c r="G347" s="957" t="s">
        <v>1570</v>
      </c>
      <c r="H347" s="1079"/>
      <c r="I347" s="957" t="s">
        <v>1571</v>
      </c>
      <c r="J347" s="1275"/>
      <c r="K347" s="953" t="str">
        <f>IF(K342=$S$15,$T$14,IF(ROUNDDOWN(K342,0)=$S$14,$U$14,$T$14))</f>
        <v>　レベル　5</v>
      </c>
      <c r="L347" s="3146" t="s">
        <v>1570</v>
      </c>
      <c r="M347" s="3147"/>
      <c r="N347" s="3146" t="s">
        <v>1572</v>
      </c>
      <c r="O347" s="3147"/>
    </row>
    <row r="348" spans="2:15" ht="15.5">
      <c r="B348" s="960">
        <v>0</v>
      </c>
      <c r="C348" s="960">
        <v>0</v>
      </c>
      <c r="D348" s="908"/>
      <c r="E348" s="913"/>
      <c r="F348" s="1116"/>
      <c r="G348" s="995"/>
      <c r="H348" s="995"/>
      <c r="I348" s="995"/>
      <c r="J348" s="995"/>
      <c r="K348" s="1116"/>
      <c r="L348" s="1116"/>
      <c r="M348" s="1116"/>
      <c r="N348" s="1116"/>
      <c r="O348" s="1116"/>
    </row>
    <row r="349" spans="2:15" ht="15.5">
      <c r="D349" s="908"/>
      <c r="E349" s="913"/>
      <c r="F349" s="1084" t="s">
        <v>1573</v>
      </c>
      <c r="G349" s="996"/>
      <c r="H349" s="1045"/>
      <c r="I349" s="1025"/>
      <c r="J349" s="999" t="e">
        <f>IF(OR(F351=0,AND(J350=0,O350=0)),$R$3,"")</f>
        <v>#DIV/0!</v>
      </c>
      <c r="K349" s="1084"/>
      <c r="L349" s="996"/>
      <c r="M349" s="1045"/>
      <c r="N349" s="1025"/>
      <c r="O349" s="999"/>
    </row>
    <row r="350" spans="2:15" ht="16" thickBot="1">
      <c r="D350" s="908"/>
      <c r="E350" s="913"/>
      <c r="F350" s="923" t="s">
        <v>1574</v>
      </c>
      <c r="G350" s="924"/>
      <c r="H350" s="925"/>
      <c r="I350" s="926" t="s">
        <v>1364</v>
      </c>
      <c r="J350" s="929" t="e">
        <f>重み!M103</f>
        <v>#DIV/0!</v>
      </c>
      <c r="K350" s="923" t="s">
        <v>1968</v>
      </c>
      <c r="L350" s="924"/>
      <c r="M350" s="925"/>
      <c r="N350" s="926" t="s">
        <v>1364</v>
      </c>
      <c r="O350" s="929" t="e">
        <f>重み!N103</f>
        <v>#DIV/0!</v>
      </c>
    </row>
    <row r="351" spans="2:15" ht="27" customHeight="1" thickBot="1">
      <c r="D351" s="908"/>
      <c r="E351" s="913"/>
      <c r="F351" s="930">
        <v>3</v>
      </c>
      <c r="G351" s="1046" t="s">
        <v>1824</v>
      </c>
      <c r="H351" s="935"/>
      <c r="I351" s="935"/>
      <c r="J351" s="936"/>
      <c r="K351" s="930">
        <v>3</v>
      </c>
      <c r="L351" s="1046" t="s">
        <v>278</v>
      </c>
      <c r="M351" s="936"/>
      <c r="N351" s="1046"/>
      <c r="O351" s="1051"/>
    </row>
    <row r="352" spans="2:15" ht="21" customHeight="1">
      <c r="B352" s="1">
        <v>1</v>
      </c>
      <c r="C352" s="1">
        <v>1</v>
      </c>
      <c r="D352" s="908"/>
      <c r="E352" s="913"/>
      <c r="F352" s="937" t="str">
        <f>IF(F351=$S$15,$T$10,IF(ROUNDDOWN(F351,0)=$S$10,$U$10,$T$10))</f>
        <v>　レベル　1</v>
      </c>
      <c r="G352" s="939" t="s">
        <v>1825</v>
      </c>
      <c r="H352" s="1227"/>
      <c r="I352" s="1227"/>
      <c r="J352" s="1273"/>
      <c r="K352" s="937" t="str">
        <f>IF(K351=$S$15,$T$10,IF(ROUNDDOWN(K351,0)=$S$10,$U$10,$T$10))</f>
        <v>　レベル　1</v>
      </c>
      <c r="L352" s="3144" t="s">
        <v>279</v>
      </c>
      <c r="M352" s="3164"/>
      <c r="N352" s="3164"/>
      <c r="O352" s="3150"/>
    </row>
    <row r="353" spans="2:15" ht="21" customHeight="1">
      <c r="B353" s="1">
        <v>2</v>
      </c>
      <c r="C353" s="1">
        <v>2</v>
      </c>
      <c r="D353" s="908"/>
      <c r="E353" s="913"/>
      <c r="F353" s="942" t="str">
        <f>IF(F351=$S$15,$T$11,IF(ROUNDDOWN(F351,0)=$S$11,$U$11,$T$11))</f>
        <v>　レベル　2</v>
      </c>
      <c r="G353" s="946" t="s">
        <v>1826</v>
      </c>
      <c r="H353" s="1086"/>
      <c r="I353" s="1086"/>
      <c r="J353" s="1274"/>
      <c r="K353" s="942" t="str">
        <f>IF(K351=$S$15,$T$11,IF(ROUNDDOWN(K351,0)=$S$11,$U$11,$T$11))</f>
        <v>　レベル　2</v>
      </c>
      <c r="L353" s="3182" t="s">
        <v>280</v>
      </c>
      <c r="M353" s="3183"/>
      <c r="N353" s="3183"/>
      <c r="O353" s="3184"/>
    </row>
    <row r="354" spans="2:15" ht="21" customHeight="1">
      <c r="B354" s="1">
        <v>3</v>
      </c>
      <c r="C354" s="1">
        <v>3</v>
      </c>
      <c r="D354" s="908"/>
      <c r="E354" s="1140"/>
      <c r="F354" s="942" t="str">
        <f>IF(F351=$S$15,$T$12,IF(ROUNDDOWN(F351,0)=$S$12,$U$12,$T$12))</f>
        <v>■レベル　3</v>
      </c>
      <c r="G354" s="946" t="s">
        <v>1827</v>
      </c>
      <c r="H354" s="1086"/>
      <c r="I354" s="1086"/>
      <c r="J354" s="1274"/>
      <c r="K354" s="942" t="str">
        <f>IF(K351=$S$15,$T$12,IF(ROUNDDOWN(K351,0)=$S$12,$U$12,$T$12))</f>
        <v>■レベル　3</v>
      </c>
      <c r="L354" s="3182" t="s">
        <v>281</v>
      </c>
      <c r="M354" s="3183"/>
      <c r="N354" s="3183"/>
      <c r="O354" s="3184"/>
    </row>
    <row r="355" spans="2:15" ht="21" customHeight="1">
      <c r="B355" s="1">
        <v>4</v>
      </c>
      <c r="C355" s="1">
        <v>4</v>
      </c>
      <c r="D355" s="908"/>
      <c r="E355" s="913"/>
      <c r="F355" s="942" t="str">
        <f>IF(F351=$S$15,$T$13,IF(ROUNDDOWN(F351,0)=$S$13,$U$13,$T$13))</f>
        <v>　レベル　4</v>
      </c>
      <c r="G355" s="946" t="s">
        <v>1828</v>
      </c>
      <c r="H355" s="1086"/>
      <c r="I355" s="1086"/>
      <c r="J355" s="1274"/>
      <c r="K355" s="942" t="str">
        <f>IF(K351=$S$15,$T$13,IF(ROUNDDOWN(K351,0)=$S$13,$U$13,$T$13))</f>
        <v>　レベル　4</v>
      </c>
      <c r="L355" s="3182" t="s">
        <v>282</v>
      </c>
      <c r="M355" s="3183"/>
      <c r="N355" s="3183"/>
      <c r="O355" s="3184"/>
    </row>
    <row r="356" spans="2:15" ht="21" customHeight="1">
      <c r="B356" s="1">
        <v>5</v>
      </c>
      <c r="C356" s="1">
        <v>5</v>
      </c>
      <c r="D356" s="908"/>
      <c r="E356" s="913"/>
      <c r="F356" s="953" t="str">
        <f>IF(F351=$S$15,$T$14,IF(ROUNDDOWN(F351,0)=$S$14,$U$14,$T$14))</f>
        <v>　レベル　5</v>
      </c>
      <c r="G356" s="957" t="s">
        <v>283</v>
      </c>
      <c r="H356" s="1079"/>
      <c r="I356" s="1079"/>
      <c r="J356" s="1275"/>
      <c r="K356" s="953" t="str">
        <f>IF(K351=$S$15,$T$14,IF(ROUNDDOWN(K351,0)=$S$14,$U$14,$T$14))</f>
        <v>　レベル　5</v>
      </c>
      <c r="L356" s="3173" t="s">
        <v>283</v>
      </c>
      <c r="M356" s="3193"/>
      <c r="N356" s="3193"/>
      <c r="O356" s="3194"/>
    </row>
    <row r="357" spans="2:15" ht="15.75" customHeight="1">
      <c r="B357" s="960">
        <v>0</v>
      </c>
      <c r="C357" s="960">
        <v>0</v>
      </c>
      <c r="D357" s="908"/>
      <c r="E357" s="913"/>
      <c r="F357" s="1050"/>
      <c r="G357" s="1276" t="s">
        <v>1829</v>
      </c>
      <c r="H357" s="1277" t="s">
        <v>284</v>
      </c>
      <c r="I357" s="1277"/>
      <c r="J357" s="1278"/>
      <c r="K357" s="1278"/>
      <c r="L357" s="1050"/>
      <c r="M357" s="1050"/>
      <c r="N357" s="1050"/>
      <c r="O357" s="1050"/>
    </row>
    <row r="358" spans="2:15" ht="15.5">
      <c r="D358" s="908"/>
      <c r="E358" s="913"/>
      <c r="F358" s="1050"/>
      <c r="G358" s="1279"/>
      <c r="H358" s="1280" t="s">
        <v>285</v>
      </c>
      <c r="I358" s="1280"/>
      <c r="J358" s="1279"/>
      <c r="K358" s="1279"/>
      <c r="L358" s="1050"/>
      <c r="M358" s="1050"/>
      <c r="N358" s="1050"/>
      <c r="O358" s="1050"/>
    </row>
    <row r="359" spans="2:15" ht="15.5">
      <c r="D359" s="908"/>
      <c r="E359" s="913"/>
      <c r="F359" s="1050"/>
      <c r="G359" s="1050"/>
      <c r="H359" s="1050"/>
      <c r="I359" s="1050"/>
      <c r="J359" s="1050"/>
      <c r="K359" s="1050"/>
      <c r="L359" s="1050"/>
      <c r="M359" s="1050"/>
      <c r="N359" s="1050"/>
      <c r="O359" s="1050"/>
    </row>
    <row r="360" spans="2:15" ht="15.5">
      <c r="D360" s="1326">
        <v>3.2</v>
      </c>
      <c r="E360" s="1143" t="s">
        <v>1830</v>
      </c>
      <c r="F360" s="1084"/>
      <c r="G360" s="996"/>
      <c r="H360" s="1045"/>
      <c r="I360" s="1025"/>
      <c r="J360" s="999" t="e">
        <f>IF(OR(F362=0,AND(J361=0,O361=0)),$R$3,"")</f>
        <v>#DIV/0!</v>
      </c>
      <c r="K360" s="1025"/>
      <c r="L360" s="1025"/>
      <c r="M360" s="995"/>
      <c r="N360" s="1025"/>
      <c r="O360" s="999"/>
    </row>
    <row r="361" spans="2:15" ht="16" thickBot="1">
      <c r="D361" s="908"/>
      <c r="E361" s="913"/>
      <c r="F361" s="1065" t="s">
        <v>327</v>
      </c>
      <c r="G361" s="924"/>
      <c r="H361" s="925"/>
      <c r="I361" s="926" t="s">
        <v>1364</v>
      </c>
      <c r="J361" s="927" t="e">
        <f>重み!M104</f>
        <v>#DIV/0!</v>
      </c>
      <c r="K361" s="1066"/>
      <c r="L361" s="1068"/>
      <c r="M361" s="1069" t="s">
        <v>1968</v>
      </c>
      <c r="N361" s="926" t="s">
        <v>1364</v>
      </c>
      <c r="O361" s="928" t="e">
        <f>重み!N104</f>
        <v>#DIV/0!</v>
      </c>
    </row>
    <row r="362" spans="2:15" ht="27" customHeight="1" thickBot="1">
      <c r="D362" s="908"/>
      <c r="E362" s="913"/>
      <c r="F362" s="930">
        <v>3</v>
      </c>
      <c r="G362" s="3151" t="s">
        <v>1831</v>
      </c>
      <c r="H362" s="3272"/>
      <c r="I362" s="1046" t="s">
        <v>1832</v>
      </c>
      <c r="J362" s="936"/>
      <c r="K362" s="1070" t="s">
        <v>2017</v>
      </c>
      <c r="L362" s="1071"/>
      <c r="M362" s="930">
        <v>3</v>
      </c>
      <c r="N362" s="1046" t="s">
        <v>1987</v>
      </c>
      <c r="O362" s="936"/>
    </row>
    <row r="363" spans="2:15" ht="21" customHeight="1">
      <c r="B363" s="1" t="s">
        <v>2177</v>
      </c>
      <c r="C363" s="1" t="s">
        <v>2177</v>
      </c>
      <c r="D363" s="908"/>
      <c r="E363" s="913"/>
      <c r="F363" s="937" t="str">
        <f>IF(F362=$S$15,$T$10,IF(ROUNDDOWN(F362,0)=$S$10,$U$10,$T$10))</f>
        <v>　レベル　1</v>
      </c>
      <c r="G363" s="3144" t="s">
        <v>1833</v>
      </c>
      <c r="H363" s="3162"/>
      <c r="I363" s="3144" t="s">
        <v>1833</v>
      </c>
      <c r="J363" s="3162"/>
      <c r="K363" s="3144" t="s">
        <v>1833</v>
      </c>
      <c r="L363" s="3162"/>
      <c r="M363" s="937" t="str">
        <f>IF(M362=$S$15,$T$10,IF(ROUNDDOWN(M362,0)=$S$10,$U$10,$T$10))</f>
        <v>　レベル　1</v>
      </c>
      <c r="N363" s="3144" t="s">
        <v>1833</v>
      </c>
      <c r="O363" s="3162"/>
    </row>
    <row r="364" spans="2:15" ht="21" customHeight="1">
      <c r="B364" s="1">
        <v>2</v>
      </c>
      <c r="C364" s="1">
        <v>2</v>
      </c>
      <c r="D364" s="908"/>
      <c r="E364" s="913"/>
      <c r="F364" s="942" t="str">
        <f>IF(F362=$S$15,$T$11,IF(ROUNDDOWN(F362,0)=$S$11,$U$11,$T$11))</f>
        <v>　レベル　2</v>
      </c>
      <c r="G364" s="3148" t="s">
        <v>1834</v>
      </c>
      <c r="H364" s="3149"/>
      <c r="I364" s="3148" t="s">
        <v>1835</v>
      </c>
      <c r="J364" s="3149"/>
      <c r="K364" s="3148" t="s">
        <v>1836</v>
      </c>
      <c r="L364" s="3149"/>
      <c r="M364" s="942" t="str">
        <f>IF(M362=$S$15,$T$11,IF(ROUNDDOWN(M362,0)=$S$11,$U$11,$T$11))</f>
        <v>　レベル　2</v>
      </c>
      <c r="N364" s="3148" t="s">
        <v>1837</v>
      </c>
      <c r="O364" s="3149"/>
    </row>
    <row r="365" spans="2:15" ht="36" customHeight="1">
      <c r="B365" s="1">
        <v>3</v>
      </c>
      <c r="C365" s="1">
        <v>3</v>
      </c>
      <c r="D365" s="908"/>
      <c r="E365" s="913"/>
      <c r="F365" s="942" t="str">
        <f>IF(F362=$S$15,$T$12,IF(ROUNDDOWN(F362,0)=$S$12,$U$12,$T$12))</f>
        <v>■レベル　3</v>
      </c>
      <c r="G365" s="3148" t="s">
        <v>1838</v>
      </c>
      <c r="H365" s="3149"/>
      <c r="I365" s="3148" t="s">
        <v>1839</v>
      </c>
      <c r="J365" s="3149"/>
      <c r="K365" s="3148" t="s">
        <v>2813</v>
      </c>
      <c r="L365" s="3149"/>
      <c r="M365" s="942" t="str">
        <f>IF(M362=$S$15,$T$12,IF(ROUNDDOWN(M362,0)=$S$12,$U$12,$T$12))</f>
        <v>■レベル　3</v>
      </c>
      <c r="N365" s="3148" t="s">
        <v>2814</v>
      </c>
      <c r="O365" s="3149"/>
    </row>
    <row r="366" spans="2:15" ht="36" customHeight="1">
      <c r="B366" s="1">
        <v>4</v>
      </c>
      <c r="C366" s="1">
        <v>4</v>
      </c>
      <c r="D366" s="908"/>
      <c r="E366" s="913"/>
      <c r="F366" s="942" t="str">
        <f>IF(F362=$S$15,$T$13,IF(ROUNDDOWN(F362,0)=$S$13,$U$13,$T$13))</f>
        <v>　レベル　4</v>
      </c>
      <c r="G366" s="3148" t="s">
        <v>2815</v>
      </c>
      <c r="H366" s="3149"/>
      <c r="I366" s="3148" t="s">
        <v>2816</v>
      </c>
      <c r="J366" s="3149"/>
      <c r="K366" s="3148" t="s">
        <v>1838</v>
      </c>
      <c r="L366" s="3149"/>
      <c r="M366" s="942" t="str">
        <f>IF(M362=$S$15,$T$13,IF(ROUNDDOWN(M362,0)=$S$13,$U$13,$T$13))</f>
        <v>　レベル　4</v>
      </c>
      <c r="N366" s="3148" t="s">
        <v>2289</v>
      </c>
      <c r="O366" s="3149"/>
    </row>
    <row r="367" spans="2:15" ht="21" customHeight="1">
      <c r="B367" s="1">
        <v>5</v>
      </c>
      <c r="C367" s="1">
        <v>5</v>
      </c>
      <c r="D367" s="908"/>
      <c r="E367" s="913"/>
      <c r="F367" s="953" t="str">
        <f>IF(F362=$S$15,$T$14,IF(ROUNDDOWN(F362,0)=$S$14,$U$14,$T$14))</f>
        <v>　レベル　5</v>
      </c>
      <c r="G367" s="3146" t="s">
        <v>2116</v>
      </c>
      <c r="H367" s="3147"/>
      <c r="I367" s="3146" t="s">
        <v>2117</v>
      </c>
      <c r="J367" s="3147"/>
      <c r="K367" s="3146" t="s">
        <v>2118</v>
      </c>
      <c r="L367" s="3147"/>
      <c r="M367" s="953" t="str">
        <f>IF(M362=$S$15,$T$14,IF(ROUNDDOWN(M362,0)=$S$14,$U$14,$T$14))</f>
        <v>　レベル　5</v>
      </c>
      <c r="N367" s="3146" t="s">
        <v>2119</v>
      </c>
      <c r="O367" s="3147"/>
    </row>
    <row r="368" spans="2:15" ht="15.5">
      <c r="B368" s="960">
        <v>0</v>
      </c>
      <c r="C368" s="960">
        <v>0</v>
      </c>
      <c r="D368" s="1281"/>
      <c r="E368" s="559"/>
      <c r="F368" s="1116"/>
      <c r="G368" s="995"/>
      <c r="H368" s="995"/>
      <c r="I368" s="995"/>
      <c r="J368" s="995"/>
      <c r="K368" s="1116"/>
      <c r="L368" s="1116"/>
      <c r="M368" s="1116"/>
      <c r="N368" s="1116"/>
      <c r="O368" s="1228"/>
    </row>
    <row r="369" spans="2:15" ht="15.5">
      <c r="D369" s="1326">
        <v>3.3</v>
      </c>
      <c r="E369" s="1143" t="s">
        <v>2120</v>
      </c>
      <c r="F369" s="1152"/>
      <c r="G369" s="1043"/>
      <c r="H369" s="1153"/>
      <c r="I369" s="1153"/>
      <c r="J369" s="1153"/>
      <c r="K369" s="1152"/>
      <c r="L369" s="1224"/>
      <c r="M369" s="1152"/>
      <c r="N369" s="1152"/>
      <c r="O369" s="1152"/>
    </row>
    <row r="370" spans="2:15" ht="15.5">
      <c r="D370" s="1326"/>
      <c r="E370" s="1143"/>
      <c r="F370" s="1084" t="s">
        <v>286</v>
      </c>
      <c r="G370" s="996"/>
      <c r="H370" s="1045"/>
      <c r="I370" s="1025"/>
      <c r="J370" s="999" t="e">
        <f>IF(OR(F372=0,J371=0),$R$3,"")</f>
        <v>#DIV/0!</v>
      </c>
      <c r="K370" s="1084" t="s">
        <v>287</v>
      </c>
      <c r="L370" s="996"/>
      <c r="M370" s="1045"/>
      <c r="N370" s="1025"/>
      <c r="O370" s="999" t="e">
        <f>IF(OR(K372=0,O371=0),$R$3,"")</f>
        <v>#DIV/0!</v>
      </c>
    </row>
    <row r="371" spans="2:15" ht="16" thickBot="1">
      <c r="D371" s="908"/>
      <c r="E371" s="913"/>
      <c r="F371" s="923"/>
      <c r="G371" s="924"/>
      <c r="H371" s="925"/>
      <c r="I371" s="926" t="s">
        <v>1364</v>
      </c>
      <c r="J371" s="929" t="e">
        <f>重み!M106</f>
        <v>#DIV/0!</v>
      </c>
      <c r="K371" s="923"/>
      <c r="L371" s="924"/>
      <c r="M371" s="925"/>
      <c r="N371" s="926" t="s">
        <v>1364</v>
      </c>
      <c r="O371" s="929" t="e">
        <f>重み!M107</f>
        <v>#DIV/0!</v>
      </c>
    </row>
    <row r="372" spans="2:15" ht="27" customHeight="1" thickBot="1">
      <c r="D372" s="908"/>
      <c r="E372" s="913"/>
      <c r="F372" s="930">
        <v>3</v>
      </c>
      <c r="G372" s="1046" t="s">
        <v>1505</v>
      </c>
      <c r="H372" s="936"/>
      <c r="I372" s="935"/>
      <c r="J372" s="936"/>
      <c r="K372" s="930">
        <v>3</v>
      </c>
      <c r="L372" s="1046" t="s">
        <v>1505</v>
      </c>
      <c r="M372" s="936"/>
      <c r="N372" s="1046"/>
      <c r="O372" s="1051"/>
    </row>
    <row r="373" spans="2:15" ht="21" customHeight="1">
      <c r="B373" s="1">
        <v>1</v>
      </c>
      <c r="C373" s="1">
        <v>1</v>
      </c>
      <c r="D373" s="908"/>
      <c r="E373" s="913"/>
      <c r="F373" s="937" t="str">
        <f>IF(F372=$S$15,$T$10,IF(ROUNDDOWN(F372,0)=$S$10,$U$10,$T$10))</f>
        <v>　レベル　1</v>
      </c>
      <c r="G373" s="3144" t="s">
        <v>2121</v>
      </c>
      <c r="H373" s="3281"/>
      <c r="I373" s="3281"/>
      <c r="J373" s="3282"/>
      <c r="K373" s="937" t="str">
        <f>IF(K372=$S$15,$T$10,IF(ROUNDDOWN(K372,0)=$S$10,$U$10,$T$10))</f>
        <v>　レベル　1</v>
      </c>
      <c r="L373" s="3144" t="s">
        <v>2122</v>
      </c>
      <c r="M373" s="3281"/>
      <c r="N373" s="3281"/>
      <c r="O373" s="3282"/>
    </row>
    <row r="374" spans="2:15" ht="38.25" customHeight="1">
      <c r="B374" s="1">
        <v>2</v>
      </c>
      <c r="C374" s="1">
        <v>2</v>
      </c>
      <c r="D374" s="908"/>
      <c r="E374" s="913"/>
      <c r="F374" s="942" t="str">
        <f>IF(F372=$S$15,$T$11,IF(ROUNDDOWN(F372,0)=$S$11,$U$11,$T$11))</f>
        <v>　レベル　2</v>
      </c>
      <c r="G374" s="3182" t="s">
        <v>1528</v>
      </c>
      <c r="H374" s="3183"/>
      <c r="I374" s="3183"/>
      <c r="J374" s="3184"/>
      <c r="K374" s="942" t="str">
        <f>IF(K372=$S$15,$T$11,IF(ROUNDDOWN(K372,0)=$S$11,$U$11,$T$11))</f>
        <v>　レベル　2</v>
      </c>
      <c r="L374" s="3182" t="s">
        <v>1529</v>
      </c>
      <c r="M374" s="3183"/>
      <c r="N374" s="3183"/>
      <c r="O374" s="3184"/>
    </row>
    <row r="375" spans="2:15" ht="43.5" customHeight="1">
      <c r="B375" s="1">
        <v>3</v>
      </c>
      <c r="C375" s="1">
        <v>3</v>
      </c>
      <c r="D375" s="908"/>
      <c r="E375" s="913"/>
      <c r="F375" s="942" t="str">
        <f>IF(F372=$S$15,$T$12,IF(ROUNDDOWN(F372,0)=$S$12,$U$12,$T$12))</f>
        <v>■レベル　3</v>
      </c>
      <c r="G375" s="3182" t="s">
        <v>288</v>
      </c>
      <c r="H375" s="3183"/>
      <c r="I375" s="3183"/>
      <c r="J375" s="3184"/>
      <c r="K375" s="942" t="str">
        <f>IF(K372=$S$15,$T$12,IF(ROUNDDOWN(K372,0)=$S$12,$U$12,$T$12))</f>
        <v>■レベル　3</v>
      </c>
      <c r="L375" s="3182" t="s">
        <v>1530</v>
      </c>
      <c r="M375" s="3183"/>
      <c r="N375" s="3183"/>
      <c r="O375" s="3184"/>
    </row>
    <row r="376" spans="2:15" ht="38.25" customHeight="1">
      <c r="B376" s="1">
        <v>4</v>
      </c>
      <c r="C376" s="1">
        <v>4</v>
      </c>
      <c r="D376" s="908"/>
      <c r="E376" s="913"/>
      <c r="F376" s="942" t="str">
        <f>IF(F372=$S$15,$T$13,IF(ROUNDDOWN(F372,0)=$S$13,$U$13,$T$13))</f>
        <v>　レベル　4</v>
      </c>
      <c r="G376" s="3182" t="s">
        <v>1531</v>
      </c>
      <c r="H376" s="3183"/>
      <c r="I376" s="3183"/>
      <c r="J376" s="3184"/>
      <c r="K376" s="942" t="str">
        <f>IF(K372=$S$15,$T$13,IF(ROUNDDOWN(K372,0)=$S$13,$U$13,$T$13))</f>
        <v>　レベル　4</v>
      </c>
      <c r="L376" s="3182" t="s">
        <v>1532</v>
      </c>
      <c r="M376" s="3183"/>
      <c r="N376" s="3183"/>
      <c r="O376" s="3184"/>
    </row>
    <row r="377" spans="2:15" ht="34.5" customHeight="1">
      <c r="B377" s="1">
        <v>5</v>
      </c>
      <c r="C377" s="1">
        <v>5</v>
      </c>
      <c r="D377" s="908"/>
      <c r="E377" s="913"/>
      <c r="F377" s="953" t="str">
        <f>IF(F372=$S$15,$T$14,IF(ROUNDDOWN(F372,0)=$S$14,$U$14,$T$14))</f>
        <v>　レベル　5</v>
      </c>
      <c r="G377" s="3173" t="s">
        <v>1346</v>
      </c>
      <c r="H377" s="3193"/>
      <c r="I377" s="3193"/>
      <c r="J377" s="3194"/>
      <c r="K377" s="953" t="str">
        <f>IF(K372=$S$15,$T$14,IF(ROUNDDOWN(K372,0)=$S$14,$U$14,$T$14))</f>
        <v>　レベル　5</v>
      </c>
      <c r="L377" s="3173" t="s">
        <v>1347</v>
      </c>
      <c r="M377" s="3193"/>
      <c r="N377" s="3193"/>
      <c r="O377" s="3194"/>
    </row>
    <row r="378" spans="2:15" ht="15.5">
      <c r="B378" s="960">
        <v>0</v>
      </c>
      <c r="C378" s="960">
        <v>0</v>
      </c>
      <c r="D378" s="908"/>
      <c r="E378" s="1059"/>
      <c r="F378" s="1083"/>
      <c r="G378" s="1083"/>
      <c r="H378" s="1083"/>
      <c r="I378" s="1083"/>
      <c r="J378" s="1081"/>
      <c r="K378" s="1081"/>
      <c r="L378" s="1083"/>
      <c r="M378" s="1083"/>
      <c r="N378" s="1081"/>
      <c r="O378" s="1282"/>
    </row>
    <row r="379" spans="2:15" ht="15.5">
      <c r="D379" s="908"/>
      <c r="E379" s="1059"/>
      <c r="F379" s="1084" t="s">
        <v>1533</v>
      </c>
      <c r="G379" s="996"/>
      <c r="H379" s="1045"/>
      <c r="I379" s="1025"/>
      <c r="J379" s="999" t="e">
        <f>IF(OR(F381=0,J380=0),$R$3,"")</f>
        <v>#DIV/0!</v>
      </c>
      <c r="K379" s="1084" t="s">
        <v>127</v>
      </c>
      <c r="L379" s="996"/>
      <c r="M379" s="1045"/>
      <c r="N379" s="1025"/>
      <c r="O379" s="999" t="e">
        <f>IF(OR(K381=0,O380=0),$R$3,"")</f>
        <v>#DIV/0!</v>
      </c>
    </row>
    <row r="380" spans="2:15" ht="16" thickBot="1">
      <c r="D380" s="908"/>
      <c r="E380" s="1059"/>
      <c r="F380" s="923"/>
      <c r="G380" s="924"/>
      <c r="H380" s="925"/>
      <c r="I380" s="926" t="s">
        <v>1364</v>
      </c>
      <c r="J380" s="929" t="e">
        <f>重み!M108</f>
        <v>#DIV/0!</v>
      </c>
      <c r="K380" s="923"/>
      <c r="L380" s="924"/>
      <c r="M380" s="925"/>
      <c r="N380" s="926" t="s">
        <v>1364</v>
      </c>
      <c r="O380" s="929" t="e">
        <f>重み!M109</f>
        <v>#DIV/0!</v>
      </c>
    </row>
    <row r="381" spans="2:15" ht="27" customHeight="1" thickBot="1">
      <c r="D381" s="908"/>
      <c r="E381" s="1059"/>
      <c r="F381" s="930">
        <v>3</v>
      </c>
      <c r="G381" s="1046" t="s">
        <v>1505</v>
      </c>
      <c r="H381" s="936"/>
      <c r="I381" s="935"/>
      <c r="J381" s="936"/>
      <c r="K381" s="930">
        <v>3</v>
      </c>
      <c r="L381" s="1046" t="s">
        <v>1505</v>
      </c>
      <c r="M381" s="936"/>
      <c r="N381" s="1046"/>
      <c r="O381" s="1051"/>
    </row>
    <row r="382" spans="2:15" ht="21" customHeight="1">
      <c r="B382" s="1">
        <v>1</v>
      </c>
      <c r="C382" s="1">
        <v>1</v>
      </c>
      <c r="D382" s="908"/>
      <c r="E382" s="1059"/>
      <c r="F382" s="937" t="str">
        <f>IF(F381=$S$15,$T$10,IF(ROUNDDOWN(F381,0)=$S$10,$U$10,$T$10))</f>
        <v>　レベル　1</v>
      </c>
      <c r="G382" s="3144" t="s">
        <v>1534</v>
      </c>
      <c r="H382" s="3281"/>
      <c r="I382" s="3281"/>
      <c r="J382" s="3282"/>
      <c r="K382" s="937" t="str">
        <f>IF(K381=$S$15,$T$10,IF(ROUNDDOWN(K381,0)=$S$10,$U$10,$T$10))</f>
        <v>　レベル　1</v>
      </c>
      <c r="L382" s="3144" t="s">
        <v>1535</v>
      </c>
      <c r="M382" s="3281"/>
      <c r="N382" s="3281"/>
      <c r="O382" s="3282"/>
    </row>
    <row r="383" spans="2:15" ht="21" customHeight="1">
      <c r="B383" s="1" t="s">
        <v>1509</v>
      </c>
      <c r="C383" s="1" t="s">
        <v>1509</v>
      </c>
      <c r="D383" s="908"/>
      <c r="E383" s="1059"/>
      <c r="F383" s="942" t="str">
        <f>IF(F381=$S$15,$T$11,IF(ROUNDDOWN(F381,0)=$S$11,$U$11,$T$11))</f>
        <v>　レベル　2</v>
      </c>
      <c r="G383" s="3182" t="s">
        <v>2178</v>
      </c>
      <c r="H383" s="3183"/>
      <c r="I383" s="3183"/>
      <c r="J383" s="3184"/>
      <c r="K383" s="942" t="str">
        <f>IF(K381=$S$15,$T$11,IF(ROUNDDOWN(K381,0)=$S$11,$U$11,$T$11))</f>
        <v>　レベル　2</v>
      </c>
      <c r="L383" s="3182" t="s">
        <v>2178</v>
      </c>
      <c r="M383" s="3183"/>
      <c r="N383" s="3183"/>
      <c r="O383" s="3184"/>
    </row>
    <row r="384" spans="2:15" ht="21" customHeight="1">
      <c r="B384" s="1">
        <v>3</v>
      </c>
      <c r="C384" s="1">
        <v>3</v>
      </c>
      <c r="D384" s="908"/>
      <c r="E384" s="1059"/>
      <c r="F384" s="942" t="str">
        <f>IF(F381=$S$15,$T$12,IF(ROUNDDOWN(F381,0)=$S$12,$U$12,$T$12))</f>
        <v>■レベル　3</v>
      </c>
      <c r="G384" s="3182" t="s">
        <v>128</v>
      </c>
      <c r="H384" s="3183"/>
      <c r="I384" s="3183"/>
      <c r="J384" s="3184"/>
      <c r="K384" s="942" t="str">
        <f>IF(K381=$S$15,$T$12,IF(ROUNDDOWN(K381,0)=$S$12,$U$12,$T$12))</f>
        <v>■レベル　3</v>
      </c>
      <c r="L384" s="3182" t="s">
        <v>129</v>
      </c>
      <c r="M384" s="3183"/>
      <c r="N384" s="3183"/>
      <c r="O384" s="3184"/>
    </row>
    <row r="385" spans="2:15" ht="21" customHeight="1">
      <c r="B385" s="1" t="s">
        <v>1509</v>
      </c>
      <c r="C385" s="1" t="s">
        <v>1509</v>
      </c>
      <c r="D385" s="908"/>
      <c r="E385" s="1059" t="s">
        <v>130</v>
      </c>
      <c r="F385" s="942" t="str">
        <f>IF(F381=$S$15,$T$13,IF(ROUNDDOWN(F381,0)=$S$13,$U$13,$T$13))</f>
        <v>　レベル　4</v>
      </c>
      <c r="G385" s="3182" t="s">
        <v>2178</v>
      </c>
      <c r="H385" s="3183"/>
      <c r="I385" s="3183"/>
      <c r="J385" s="3184"/>
      <c r="K385" s="942" t="str">
        <f>IF(K381=$S$15,$T$13,IF(ROUNDDOWN(K381,0)=$S$13,$U$13,$T$13))</f>
        <v>　レベル　4</v>
      </c>
      <c r="L385" s="3182" t="s">
        <v>2178</v>
      </c>
      <c r="M385" s="3183"/>
      <c r="N385" s="3183"/>
      <c r="O385" s="3184"/>
    </row>
    <row r="386" spans="2:15" ht="32.25" customHeight="1">
      <c r="B386" s="1">
        <v>5</v>
      </c>
      <c r="C386" s="1">
        <v>5</v>
      </c>
      <c r="D386" s="908"/>
      <c r="E386" s="1059"/>
      <c r="F386" s="953" t="str">
        <f>IF(F381=$S$15,$T$14,IF(ROUNDDOWN(F381,0)=$S$14,$U$14,$T$14))</f>
        <v>　レベル　5</v>
      </c>
      <c r="G386" s="3173" t="s">
        <v>1536</v>
      </c>
      <c r="H386" s="3193"/>
      <c r="I386" s="3193"/>
      <c r="J386" s="3194"/>
      <c r="K386" s="953" t="str">
        <f>IF(K381=$S$15,$T$14,IF(ROUNDDOWN(K381,0)=$S$14,$U$14,$T$14))</f>
        <v>　レベル　5</v>
      </c>
      <c r="L386" s="3173" t="s">
        <v>1537</v>
      </c>
      <c r="M386" s="3193"/>
      <c r="N386" s="3193"/>
      <c r="O386" s="3194"/>
    </row>
    <row r="387" spans="2:15" ht="15.5">
      <c r="B387" s="960">
        <v>0</v>
      </c>
      <c r="C387" s="960">
        <v>0</v>
      </c>
      <c r="D387" s="908"/>
      <c r="E387" s="1059"/>
      <c r="F387" s="1083"/>
      <c r="G387" s="1083"/>
      <c r="H387" s="1083"/>
      <c r="I387" s="1083"/>
      <c r="J387" s="1081"/>
      <c r="K387" s="1081"/>
      <c r="L387" s="1083"/>
      <c r="M387" s="1083"/>
      <c r="N387" s="1081"/>
      <c r="O387" s="1282"/>
    </row>
    <row r="388" spans="2:15" ht="15.5">
      <c r="D388" s="908"/>
      <c r="E388" s="1059"/>
      <c r="F388" s="1084" t="s">
        <v>1538</v>
      </c>
      <c r="G388" s="996"/>
      <c r="H388" s="1045"/>
      <c r="I388" s="1025"/>
      <c r="J388" s="999" t="e">
        <f>IF(OR(F390=0,J389=0),$R$3,"")</f>
        <v>#DIV/0!</v>
      </c>
      <c r="K388" s="1084" t="s">
        <v>1539</v>
      </c>
      <c r="L388" s="996"/>
      <c r="M388" s="1045"/>
      <c r="N388" s="1025"/>
      <c r="O388" s="999" t="e">
        <f>IF(OR(K390=0,O389=0),$R$3,"")</f>
        <v>#DIV/0!</v>
      </c>
    </row>
    <row r="389" spans="2:15" ht="16" thickBot="1">
      <c r="D389" s="908"/>
      <c r="E389" s="1059"/>
      <c r="F389" s="923"/>
      <c r="G389" s="924"/>
      <c r="H389" s="925"/>
      <c r="I389" s="926" t="s">
        <v>1364</v>
      </c>
      <c r="J389" s="929" t="e">
        <f>重み!M110</f>
        <v>#DIV/0!</v>
      </c>
      <c r="K389" s="923"/>
      <c r="L389" s="924"/>
      <c r="M389" s="925"/>
      <c r="N389" s="926" t="s">
        <v>1364</v>
      </c>
      <c r="O389" s="929" t="e">
        <f>重み!M111</f>
        <v>#DIV/0!</v>
      </c>
    </row>
    <row r="390" spans="2:15" ht="27" customHeight="1" thickBot="1">
      <c r="D390" s="908"/>
      <c r="E390" s="1059"/>
      <c r="F390" s="930">
        <v>3</v>
      </c>
      <c r="G390" s="1046" t="s">
        <v>1505</v>
      </c>
      <c r="H390" s="936"/>
      <c r="I390" s="935"/>
      <c r="J390" s="936"/>
      <c r="K390" s="930">
        <v>3</v>
      </c>
      <c r="L390" s="1046" t="s">
        <v>1505</v>
      </c>
      <c r="M390" s="936"/>
      <c r="N390" s="1046"/>
      <c r="O390" s="1051"/>
    </row>
    <row r="391" spans="2:15" ht="43.5" customHeight="1">
      <c r="B391" s="1">
        <v>1</v>
      </c>
      <c r="C391" s="1" t="s">
        <v>1509</v>
      </c>
      <c r="D391" s="908"/>
      <c r="E391" s="1283" t="str">
        <f>IF(AND(D393="対象外",H392&gt;0.001),"★入力エラー：レベル１～５を選択し直してください！","")</f>
        <v/>
      </c>
      <c r="F391" s="937" t="str">
        <f>IF(F390=$S$15,$T$10,IF(ROUNDDOWN(F390,0)=$S$10,$U$10,$T$10))</f>
        <v>　レベル　1</v>
      </c>
      <c r="G391" s="3144" t="s">
        <v>59</v>
      </c>
      <c r="H391" s="3281"/>
      <c r="I391" s="3281"/>
      <c r="J391" s="3282"/>
      <c r="K391" s="937" t="str">
        <f>IF(K390=$S$15,$T$10,IF(ROUNDDOWN(K390,0)=$S$10,$U$10,$T$10))</f>
        <v>　レベル　1</v>
      </c>
      <c r="L391" s="3144" t="s">
        <v>2178</v>
      </c>
      <c r="M391" s="3281"/>
      <c r="N391" s="3281"/>
      <c r="O391" s="3282"/>
    </row>
    <row r="392" spans="2:15" ht="21" customHeight="1">
      <c r="B392" s="1" t="s">
        <v>1509</v>
      </c>
      <c r="C392" s="1" t="s">
        <v>1509</v>
      </c>
      <c r="D392" s="908"/>
      <c r="E392" s="1059"/>
      <c r="F392" s="942" t="str">
        <f>IF(F390=$S$15,$T$11,IF(ROUNDDOWN(F390,0)=$S$11,$U$11,$T$11))</f>
        <v>　レベル　2</v>
      </c>
      <c r="G392" s="3182" t="s">
        <v>2178</v>
      </c>
      <c r="H392" s="3183"/>
      <c r="I392" s="3183"/>
      <c r="J392" s="3184"/>
      <c r="K392" s="942" t="str">
        <f>IF(K390=$S$15,$T$11,IF(ROUNDDOWN(K390,0)=$S$11,$U$11,$T$11))</f>
        <v>　レベル　2</v>
      </c>
      <c r="L392" s="3182" t="s">
        <v>2178</v>
      </c>
      <c r="M392" s="3183"/>
      <c r="N392" s="3183"/>
      <c r="O392" s="3184"/>
    </row>
    <row r="393" spans="2:15" ht="40.5" customHeight="1">
      <c r="B393" s="1">
        <v>3</v>
      </c>
      <c r="C393" s="1">
        <v>3</v>
      </c>
      <c r="D393" s="908"/>
      <c r="E393" s="1059"/>
      <c r="F393" s="942" t="str">
        <f>IF(F390=$S$15,$T$12,IF(ROUNDDOWN(F390,0)=$S$12,$U$12,$T$12))</f>
        <v>■レベル　3</v>
      </c>
      <c r="G393" s="3182" t="s">
        <v>60</v>
      </c>
      <c r="H393" s="3183"/>
      <c r="I393" s="3183"/>
      <c r="J393" s="3184"/>
      <c r="K393" s="942" t="str">
        <f>IF(K390=$S$15,$T$12,IF(ROUNDDOWN(K390,0)=$S$12,$U$12,$T$12))</f>
        <v>■レベル　3</v>
      </c>
      <c r="L393" s="3182" t="s">
        <v>1540</v>
      </c>
      <c r="M393" s="3183"/>
      <c r="N393" s="3183"/>
      <c r="O393" s="3184"/>
    </row>
    <row r="394" spans="2:15" ht="40.5" customHeight="1">
      <c r="B394" s="1">
        <v>4</v>
      </c>
      <c r="C394" s="1">
        <v>4</v>
      </c>
      <c r="D394" s="908"/>
      <c r="E394" s="1059"/>
      <c r="F394" s="942" t="str">
        <f>IF(F390=$S$15,$T$13,IF(ROUNDDOWN(F390,0)=$S$13,$U$13,$T$13))</f>
        <v>　レベル　4</v>
      </c>
      <c r="G394" s="3182" t="s">
        <v>62</v>
      </c>
      <c r="H394" s="3183"/>
      <c r="I394" s="3183"/>
      <c r="J394" s="3184"/>
      <c r="K394" s="942" t="str">
        <f>IF(K390=$S$15,$T$13,IF(ROUNDDOWN(K390,0)=$S$13,$U$13,$T$13))</f>
        <v>　レベル　4</v>
      </c>
      <c r="L394" s="3182" t="s">
        <v>500</v>
      </c>
      <c r="M394" s="3183"/>
      <c r="N394" s="3183"/>
      <c r="O394" s="3184"/>
    </row>
    <row r="395" spans="2:15" ht="40.5" customHeight="1">
      <c r="B395" s="1">
        <v>5</v>
      </c>
      <c r="C395" s="1" t="s">
        <v>1509</v>
      </c>
      <c r="D395" s="908"/>
      <c r="E395" s="1059"/>
      <c r="F395" s="953" t="str">
        <f>IF(F390=$S$15,$T$14,IF(ROUNDDOWN(F390,0)=$S$14,$U$14,$T$14))</f>
        <v>　レベル　5</v>
      </c>
      <c r="G395" s="3173" t="s">
        <v>61</v>
      </c>
      <c r="H395" s="3193"/>
      <c r="I395" s="3193"/>
      <c r="J395" s="3194"/>
      <c r="K395" s="953" t="str">
        <f>IF(K390=$S$15,$T$14,IF(ROUNDDOWN(K390,0)=$S$14,$U$14,$T$14))</f>
        <v>　レベル　5</v>
      </c>
      <c r="L395" s="3173" t="s">
        <v>2178</v>
      </c>
      <c r="M395" s="3193"/>
      <c r="N395" s="3193"/>
      <c r="O395" s="3194"/>
    </row>
    <row r="396" spans="2:15">
      <c r="B396" s="960">
        <v>0</v>
      </c>
      <c r="C396" s="960">
        <v>0</v>
      </c>
    </row>
    <row r="397" spans="2:15" hidden="1"/>
    <row r="398" spans="2:15" hidden="1"/>
    <row r="399" spans="2:15" hidden="1"/>
    <row r="400" spans="2:15"/>
    <row r="401"/>
    <row r="402"/>
  </sheetData>
  <sheetProtection algorithmName="SHA-512" hashValue="TTzGCAbnNGQgX1QyLGGytzWs/p3YKm7cA25z4acRFDUiFeJUC48+nGwQef2D0d3nepN/xATDhN5tKJXR/Uk/tQ==" saltValue="B9W6M/cCP+C1vvRSVFVvCw==" spinCount="100000" sheet="1" objects="1" scenarios="1"/>
  <mergeCells count="337">
    <mergeCell ref="G89:O89"/>
    <mergeCell ref="G209:J209"/>
    <mergeCell ref="L217:O217"/>
    <mergeCell ref="L126:O126"/>
    <mergeCell ref="K95:M95"/>
    <mergeCell ref="G104:I104"/>
    <mergeCell ref="H162:I162"/>
    <mergeCell ref="J162:N162"/>
    <mergeCell ref="H163:I163"/>
    <mergeCell ref="J163:N163"/>
    <mergeCell ref="H166:N166"/>
    <mergeCell ref="I195:J195"/>
    <mergeCell ref="I196:J196"/>
    <mergeCell ref="G195:H195"/>
    <mergeCell ref="G196:H196"/>
    <mergeCell ref="H157:J157"/>
    <mergeCell ref="L149:N149"/>
    <mergeCell ref="G144:H144"/>
    <mergeCell ref="I144:M144"/>
    <mergeCell ref="I145:K145"/>
    <mergeCell ref="H147:J147"/>
    <mergeCell ref="L147:N147"/>
    <mergeCell ref="G392:J392"/>
    <mergeCell ref="L392:O392"/>
    <mergeCell ref="G242:J242"/>
    <mergeCell ref="L237:O237"/>
    <mergeCell ref="G236:J236"/>
    <mergeCell ref="G271:H271"/>
    <mergeCell ref="I271:J271"/>
    <mergeCell ref="G297:H297"/>
    <mergeCell ref="I297:J297"/>
    <mergeCell ref="G272:H272"/>
    <mergeCell ref="I272:J272"/>
    <mergeCell ref="G274:H274"/>
    <mergeCell ref="I274:J274"/>
    <mergeCell ref="G273:H273"/>
    <mergeCell ref="I273:J273"/>
    <mergeCell ref="G282:L282"/>
    <mergeCell ref="G285:L285"/>
    <mergeCell ref="G286:L286"/>
    <mergeCell ref="I293:J293"/>
    <mergeCell ref="K293:L293"/>
    <mergeCell ref="G315:O315"/>
    <mergeCell ref="G316:O316"/>
    <mergeCell ref="G317:O317"/>
    <mergeCell ref="I275:J275"/>
    <mergeCell ref="G283:L283"/>
    <mergeCell ref="G284:L284"/>
    <mergeCell ref="G281:L281"/>
    <mergeCell ref="M294:N294"/>
    <mergeCell ref="K253:L253"/>
    <mergeCell ref="M293:N293"/>
    <mergeCell ref="G256:H256"/>
    <mergeCell ref="G12:H12"/>
    <mergeCell ref="I12:J12"/>
    <mergeCell ref="G13:H13"/>
    <mergeCell ref="I13:J13"/>
    <mergeCell ref="L234:O234"/>
    <mergeCell ref="L235:O235"/>
    <mergeCell ref="L236:O236"/>
    <mergeCell ref="G198:H198"/>
    <mergeCell ref="G197:H197"/>
    <mergeCell ref="I197:J197"/>
    <mergeCell ref="L233:O233"/>
    <mergeCell ref="L199:O199"/>
    <mergeCell ref="G207:J207"/>
    <mergeCell ref="G208:J208"/>
    <mergeCell ref="I199:J199"/>
    <mergeCell ref="G199:H199"/>
    <mergeCell ref="K50:N50"/>
    <mergeCell ref="G363:H363"/>
    <mergeCell ref="I363:J363"/>
    <mergeCell ref="N363:O363"/>
    <mergeCell ref="L352:O352"/>
    <mergeCell ref="K297:L297"/>
    <mergeCell ref="M297:N297"/>
    <mergeCell ref="N343:O343"/>
    <mergeCell ref="L344:M344"/>
    <mergeCell ref="N344:O344"/>
    <mergeCell ref="L356:O356"/>
    <mergeCell ref="L346:M346"/>
    <mergeCell ref="I342:J342"/>
    <mergeCell ref="G332:L332"/>
    <mergeCell ref="G305:N305"/>
    <mergeCell ref="L383:O383"/>
    <mergeCell ref="G375:J375"/>
    <mergeCell ref="L375:O375"/>
    <mergeCell ref="G376:J376"/>
    <mergeCell ref="I365:J365"/>
    <mergeCell ref="I364:J364"/>
    <mergeCell ref="G373:J373"/>
    <mergeCell ref="L373:O373"/>
    <mergeCell ref="G391:J391"/>
    <mergeCell ref="L377:O377"/>
    <mergeCell ref="G382:J382"/>
    <mergeCell ref="L391:O391"/>
    <mergeCell ref="K366:L366"/>
    <mergeCell ref="F186:F187"/>
    <mergeCell ref="I186:K186"/>
    <mergeCell ref="L186:N186"/>
    <mergeCell ref="I187:K187"/>
    <mergeCell ref="L187:N187"/>
    <mergeCell ref="G185:H187"/>
    <mergeCell ref="I185:K185"/>
    <mergeCell ref="L185:N185"/>
    <mergeCell ref="G395:J395"/>
    <mergeCell ref="L395:O395"/>
    <mergeCell ref="G393:J393"/>
    <mergeCell ref="L393:O393"/>
    <mergeCell ref="G394:J394"/>
    <mergeCell ref="L394:O394"/>
    <mergeCell ref="L376:O376"/>
    <mergeCell ref="N364:O364"/>
    <mergeCell ref="G365:H365"/>
    <mergeCell ref="L386:O386"/>
    <mergeCell ref="G383:J383"/>
    <mergeCell ref="N365:O365"/>
    <mergeCell ref="G364:H364"/>
    <mergeCell ref="G377:J377"/>
    <mergeCell ref="K365:L365"/>
    <mergeCell ref="G386:J386"/>
    <mergeCell ref="G49:J49"/>
    <mergeCell ref="K49:N49"/>
    <mergeCell ref="I182:K182"/>
    <mergeCell ref="L182:N182"/>
    <mergeCell ref="F183:F184"/>
    <mergeCell ref="I183:K183"/>
    <mergeCell ref="L183:N183"/>
    <mergeCell ref="I184:K184"/>
    <mergeCell ref="L184:N184"/>
    <mergeCell ref="G182:H184"/>
    <mergeCell ref="F180:F181"/>
    <mergeCell ref="I180:K180"/>
    <mergeCell ref="L180:N180"/>
    <mergeCell ref="I181:K181"/>
    <mergeCell ref="L181:N181"/>
    <mergeCell ref="L157:N157"/>
    <mergeCell ref="H154:J154"/>
    <mergeCell ref="L154:N154"/>
    <mergeCell ref="G78:M78"/>
    <mergeCell ref="G122:M122"/>
    <mergeCell ref="G121:M121"/>
    <mergeCell ref="G127:K127"/>
    <mergeCell ref="G128:K128"/>
    <mergeCell ref="H149:J149"/>
    <mergeCell ref="L14:M14"/>
    <mergeCell ref="N14:O14"/>
    <mergeCell ref="G19:J19"/>
    <mergeCell ref="L19:O19"/>
    <mergeCell ref="G23:J23"/>
    <mergeCell ref="L23:O23"/>
    <mergeCell ref="N171:O175"/>
    <mergeCell ref="G179:H181"/>
    <mergeCell ref="I179:K179"/>
    <mergeCell ref="L179:N179"/>
    <mergeCell ref="G21:J21"/>
    <mergeCell ref="L21:O21"/>
    <mergeCell ref="L58:O58"/>
    <mergeCell ref="G59:J59"/>
    <mergeCell ref="L59:O59"/>
    <mergeCell ref="G60:J60"/>
    <mergeCell ref="L60:O60"/>
    <mergeCell ref="G58:J58"/>
    <mergeCell ref="G57:J57"/>
    <mergeCell ref="L57:O57"/>
    <mergeCell ref="G41:H41"/>
    <mergeCell ref="I41:J41"/>
    <mergeCell ref="N41:O41"/>
    <mergeCell ref="G42:H42"/>
    <mergeCell ref="G10:H10"/>
    <mergeCell ref="I10:J10"/>
    <mergeCell ref="G11:H11"/>
    <mergeCell ref="I11:J11"/>
    <mergeCell ref="L10:M10"/>
    <mergeCell ref="N10:O10"/>
    <mergeCell ref="L11:M11"/>
    <mergeCell ref="N11:O11"/>
    <mergeCell ref="L12:M12"/>
    <mergeCell ref="N12:O12"/>
    <mergeCell ref="L13:M13"/>
    <mergeCell ref="G20:J20"/>
    <mergeCell ref="N13:O13"/>
    <mergeCell ref="G22:J22"/>
    <mergeCell ref="L22:O22"/>
    <mergeCell ref="G14:H14"/>
    <mergeCell ref="I14:J14"/>
    <mergeCell ref="L20:O20"/>
    <mergeCell ref="G385:J385"/>
    <mergeCell ref="L385:O385"/>
    <mergeCell ref="G367:H367"/>
    <mergeCell ref="I367:J367"/>
    <mergeCell ref="N367:O367"/>
    <mergeCell ref="G374:J374"/>
    <mergeCell ref="L374:O374"/>
    <mergeCell ref="G384:J384"/>
    <mergeCell ref="L384:O384"/>
    <mergeCell ref="L382:O382"/>
    <mergeCell ref="K367:L367"/>
    <mergeCell ref="G28:J28"/>
    <mergeCell ref="K28:N28"/>
    <mergeCell ref="G38:H38"/>
    <mergeCell ref="I294:J294"/>
    <mergeCell ref="G275:H275"/>
    <mergeCell ref="K294:L294"/>
    <mergeCell ref="K30:N30"/>
    <mergeCell ref="G30:J30"/>
    <mergeCell ref="G29:J29"/>
    <mergeCell ref="K29:N29"/>
    <mergeCell ref="G56:J56"/>
    <mergeCell ref="L56:O56"/>
    <mergeCell ref="L130:O130"/>
    <mergeCell ref="G132:K132"/>
    <mergeCell ref="L127:O127"/>
    <mergeCell ref="I256:J256"/>
    <mergeCell ref="K256:L256"/>
    <mergeCell ref="G263:L263"/>
    <mergeCell ref="G253:H253"/>
    <mergeCell ref="G262:L262"/>
    <mergeCell ref="G254:H254"/>
    <mergeCell ref="G294:H294"/>
    <mergeCell ref="I143:M143"/>
    <mergeCell ref="L134:O134"/>
    <mergeCell ref="L135:O135"/>
    <mergeCell ref="L136:O136"/>
    <mergeCell ref="L137:O137"/>
    <mergeCell ref="G143:H143"/>
    <mergeCell ref="L153:N153"/>
    <mergeCell ref="G296:H296"/>
    <mergeCell ref="I296:J296"/>
    <mergeCell ref="K296:L296"/>
    <mergeCell ref="L355:O355"/>
    <mergeCell ref="L353:O353"/>
    <mergeCell ref="L354:O354"/>
    <mergeCell ref="G366:H366"/>
    <mergeCell ref="I366:J366"/>
    <mergeCell ref="L343:M343"/>
    <mergeCell ref="N366:O366"/>
    <mergeCell ref="G362:H362"/>
    <mergeCell ref="G307:N307"/>
    <mergeCell ref="G302:N302"/>
    <mergeCell ref="G303:N303"/>
    <mergeCell ref="G304:N304"/>
    <mergeCell ref="G335:L335"/>
    <mergeCell ref="N346:O346"/>
    <mergeCell ref="K363:L363"/>
    <mergeCell ref="K364:L364"/>
    <mergeCell ref="L345:M345"/>
    <mergeCell ref="N345:O345"/>
    <mergeCell ref="L347:M347"/>
    <mergeCell ref="N347:O347"/>
    <mergeCell ref="G306:N306"/>
    <mergeCell ref="G243:J243"/>
    <mergeCell ref="L128:O128"/>
    <mergeCell ref="L129:O129"/>
    <mergeCell ref="G130:K130"/>
    <mergeCell ref="G244:J244"/>
    <mergeCell ref="L131:O131"/>
    <mergeCell ref="G265:L265"/>
    <mergeCell ref="G264:L264"/>
    <mergeCell ref="I254:J254"/>
    <mergeCell ref="K254:L254"/>
    <mergeCell ref="L218:O218"/>
    <mergeCell ref="G252:H252"/>
    <mergeCell ref="I252:J252"/>
    <mergeCell ref="K251:L251"/>
    <mergeCell ref="K259:L259"/>
    <mergeCell ref="G255:H255"/>
    <mergeCell ref="I255:J255"/>
    <mergeCell ref="K255:L255"/>
    <mergeCell ref="K252:L252"/>
    <mergeCell ref="I253:J253"/>
    <mergeCell ref="G135:K135"/>
    <mergeCell ref="G138:K138"/>
    <mergeCell ref="G194:H194"/>
    <mergeCell ref="G227:J227"/>
    <mergeCell ref="G48:J48"/>
    <mergeCell ref="K48:N48"/>
    <mergeCell ref="G51:J51"/>
    <mergeCell ref="K51:N51"/>
    <mergeCell ref="I42:J42"/>
    <mergeCell ref="N42:O42"/>
    <mergeCell ref="G50:J50"/>
    <mergeCell ref="G287:L287"/>
    <mergeCell ref="L198:O198"/>
    <mergeCell ref="I198:J198"/>
    <mergeCell ref="L132:O132"/>
    <mergeCell ref="G64:J64"/>
    <mergeCell ref="L64:O64"/>
    <mergeCell ref="G65:J65"/>
    <mergeCell ref="L65:O65"/>
    <mergeCell ref="G245:J245"/>
    <mergeCell ref="G246:J246"/>
    <mergeCell ref="G66:J66"/>
    <mergeCell ref="L66:O66"/>
    <mergeCell ref="G113:I113"/>
    <mergeCell ref="G67:J67"/>
    <mergeCell ref="L67:O67"/>
    <mergeCell ref="N74:O78"/>
    <mergeCell ref="N118:O122"/>
    <mergeCell ref="G31:J31"/>
    <mergeCell ref="K31:N31"/>
    <mergeCell ref="N39:O39"/>
    <mergeCell ref="G47:J47"/>
    <mergeCell ref="K47:N47"/>
    <mergeCell ref="G32:J32"/>
    <mergeCell ref="K32:N32"/>
    <mergeCell ref="G40:H40"/>
    <mergeCell ref="I40:J40"/>
    <mergeCell ref="N40:O40"/>
    <mergeCell ref="I38:J38"/>
    <mergeCell ref="N38:O38"/>
    <mergeCell ref="G39:H39"/>
    <mergeCell ref="I39:J39"/>
    <mergeCell ref="G295:H295"/>
    <mergeCell ref="I295:J295"/>
    <mergeCell ref="K295:L295"/>
    <mergeCell ref="M296:N296"/>
    <mergeCell ref="M295:N295"/>
    <mergeCell ref="G293:H293"/>
    <mergeCell ref="G133:K133"/>
    <mergeCell ref="L133:O133"/>
    <mergeCell ref="H150:J150"/>
    <mergeCell ref="L150:N150"/>
    <mergeCell ref="H151:J151"/>
    <mergeCell ref="L151:N151"/>
    <mergeCell ref="H148:J148"/>
    <mergeCell ref="L148:N148"/>
    <mergeCell ref="H156:J156"/>
    <mergeCell ref="L156:N156"/>
    <mergeCell ref="H155:J155"/>
    <mergeCell ref="L155:N155"/>
    <mergeCell ref="H152:J152"/>
    <mergeCell ref="L152:N152"/>
    <mergeCell ref="H153:J153"/>
    <mergeCell ref="L138:O138"/>
    <mergeCell ref="G142:H142"/>
    <mergeCell ref="I142:M142"/>
  </mergeCells>
  <phoneticPr fontId="22"/>
  <conditionalFormatting sqref="K9 K18 M37 K194 K204 K213 K222 K232 K342 K351 M362 K381 K372 K390">
    <cfRule type="expression" dxfId="149" priority="62" stopIfTrue="1">
      <formula>AND(OR(K9&lt;1,K9&gt;5),K9&lt;&gt;0)</formula>
    </cfRule>
    <cfRule type="expression" dxfId="148" priority="63" stopIfTrue="1">
      <formula>$O8&gt;0</formula>
    </cfRule>
  </conditionalFormatting>
  <conditionalFormatting sqref="F9 F18 F27 F37 F46 F213 F194 F204 F222 F390 F342 F351 F362 F372 F381 F312 F232 F241">
    <cfRule type="expression" dxfId="147" priority="68" stopIfTrue="1">
      <formula>AND(OR(F9&lt;1,F9&gt;5),F9&lt;&gt;0)</formula>
    </cfRule>
    <cfRule type="expression" dxfId="146" priority="69" stopIfTrue="1">
      <formula>$J8&gt;0</formula>
    </cfRule>
  </conditionalFormatting>
  <conditionalFormatting sqref="F61">
    <cfRule type="expression" dxfId="145" priority="164" stopIfTrue="1">
      <formula>AND(OR(F61&lt;1,F61&gt;5),F61&lt;&gt;0)</formula>
    </cfRule>
    <cfRule type="expression" dxfId="144" priority="165" stopIfTrue="1">
      <formula>AND(J54&gt;0,H61=$T$4)</formula>
    </cfRule>
  </conditionalFormatting>
  <conditionalFormatting sqref="F64:F67">
    <cfRule type="expression" dxfId="143" priority="169" stopIfTrue="1">
      <formula>AND($J$54&gt;0,$H$61=$T$3)</formula>
    </cfRule>
  </conditionalFormatting>
  <conditionalFormatting sqref="K64:K67">
    <cfRule type="expression" dxfId="142" priority="177" stopIfTrue="1">
      <formula>AND($O$54&gt;0,$M$61=$T$3)</formula>
    </cfRule>
  </conditionalFormatting>
  <conditionalFormatting sqref="F262:F265">
    <cfRule type="expression" dxfId="141" priority="182" stopIfTrue="1">
      <formula>AND($J$250&gt;0,$H$257=$T$3)</formula>
    </cfRule>
  </conditionalFormatting>
  <conditionalFormatting sqref="F281:F285">
    <cfRule type="expression" dxfId="140" priority="190" stopIfTrue="1">
      <formula>AND($J$269&gt;0.001,$H$276=$T$3)</formula>
    </cfRule>
  </conditionalFormatting>
  <conditionalFormatting sqref="F286:F287">
    <cfRule type="expression" dxfId="139" priority="191" stopIfTrue="1">
      <formula>AND($J$269&gt;0.001,$H$276=$T$3,$G$279&gt;0)</formula>
    </cfRule>
  </conditionalFormatting>
  <conditionalFormatting sqref="F330 F335">
    <cfRule type="expression" dxfId="138" priority="193" stopIfTrue="1">
      <formula>AND($J$320&gt;0.001,$H$327=$T$3)</formula>
    </cfRule>
  </conditionalFormatting>
  <conditionalFormatting sqref="F331:F334">
    <cfRule type="expression" dxfId="137" priority="195" stopIfTrue="1">
      <formula>AND($J$320&gt;0.001,$H$327=$T$3)</formula>
    </cfRule>
  </conditionalFormatting>
  <conditionalFormatting sqref="F82:F93">
    <cfRule type="expression" dxfId="136" priority="50">
      <formula>AND($J$72&gt;0,$H$79=$T$3)</formula>
    </cfRule>
  </conditionalFormatting>
  <conditionalFormatting sqref="H61">
    <cfRule type="expression" dxfId="135" priority="49">
      <formula>J54&gt;0</formula>
    </cfRule>
  </conditionalFormatting>
  <conditionalFormatting sqref="M61">
    <cfRule type="expression" dxfId="134" priority="48">
      <formula>O54&gt;0</formula>
    </cfRule>
  </conditionalFormatting>
  <conditionalFormatting sqref="K61">
    <cfRule type="expression" dxfId="133" priority="44" stopIfTrue="1">
      <formula>AND(OR(K61&lt;1,K61&gt;5),K61&lt;&gt;0)</formula>
    </cfRule>
    <cfRule type="expression" dxfId="132" priority="45" stopIfTrue="1">
      <formula>AND(O54&gt;0,M61=$T$4)</formula>
    </cfRule>
  </conditionalFormatting>
  <conditionalFormatting sqref="F126:F138">
    <cfRule type="expression" dxfId="131" priority="37">
      <formula>AND($M$116&gt;0,$H$123=$T$3)</formula>
    </cfRule>
  </conditionalFormatting>
  <conditionalFormatting sqref="F302:F307">
    <cfRule type="expression" dxfId="130" priority="199" stopIfTrue="1">
      <formula>AND($J$291&gt;0.001,$H$298=$T$3)</formula>
    </cfRule>
  </conditionalFormatting>
  <conditionalFormatting sqref="F79">
    <cfRule type="expression" dxfId="129" priority="23" stopIfTrue="1">
      <formula>AND(OR(F79&lt;1,F79&gt;5),F79&lt;&gt;0)</formula>
    </cfRule>
    <cfRule type="expression" dxfId="128" priority="24" stopIfTrue="1">
      <formula>AND(J72&gt;0,H79=$T$4)</formula>
    </cfRule>
  </conditionalFormatting>
  <conditionalFormatting sqref="H79">
    <cfRule type="expression" dxfId="127" priority="22">
      <formula>J72&gt;0</formula>
    </cfRule>
  </conditionalFormatting>
  <conditionalFormatting sqref="F123">
    <cfRule type="expression" dxfId="126" priority="20" stopIfTrue="1">
      <formula>AND(OR(F123&lt;1,F123&gt;5),F123&lt;&gt;0)</formula>
    </cfRule>
    <cfRule type="expression" dxfId="125" priority="21" stopIfTrue="1">
      <formula>AND(J116&gt;0,H123=$T$4)</formula>
    </cfRule>
  </conditionalFormatting>
  <conditionalFormatting sqref="H123">
    <cfRule type="expression" dxfId="124" priority="19">
      <formula>J116&gt;0</formula>
    </cfRule>
  </conditionalFormatting>
  <conditionalFormatting sqref="F257">
    <cfRule type="expression" dxfId="123" priority="17" stopIfTrue="1">
      <formula>AND(OR(F257&lt;1,F257&gt;5),F257&lt;&gt;0)</formula>
    </cfRule>
    <cfRule type="expression" dxfId="122" priority="18" stopIfTrue="1">
      <formula>AND(J250&gt;0,H257=$T$4)</formula>
    </cfRule>
  </conditionalFormatting>
  <conditionalFormatting sqref="H257">
    <cfRule type="expression" dxfId="121" priority="16">
      <formula>J250&gt;0</formula>
    </cfRule>
  </conditionalFormatting>
  <conditionalFormatting sqref="F298">
    <cfRule type="expression" dxfId="120" priority="11" stopIfTrue="1">
      <formula>AND(OR(F298&lt;1,F298&gt;5),F298&lt;&gt;0)</formula>
    </cfRule>
    <cfRule type="expression" dxfId="119" priority="12" stopIfTrue="1">
      <formula>AND(J291&gt;0,H298=$T$4)</formula>
    </cfRule>
  </conditionalFormatting>
  <conditionalFormatting sqref="H298">
    <cfRule type="expression" dxfId="118" priority="10">
      <formula>J291&gt;0</formula>
    </cfRule>
  </conditionalFormatting>
  <conditionalFormatting sqref="F327">
    <cfRule type="expression" dxfId="117" priority="8" stopIfTrue="1">
      <formula>AND(OR(F327&lt;1,F327&gt;5),F327&lt;&gt;0)</formula>
    </cfRule>
    <cfRule type="expression" dxfId="116" priority="9" stopIfTrue="1">
      <formula>AND(J320&gt;0,H327=$T$4)</formula>
    </cfRule>
  </conditionalFormatting>
  <conditionalFormatting sqref="H327">
    <cfRule type="expression" dxfId="115" priority="7">
      <formula>J320&gt;0</formula>
    </cfRule>
  </conditionalFormatting>
  <conditionalFormatting sqref="F176">
    <cfRule type="expression" dxfId="114" priority="5" stopIfTrue="1">
      <formula>AND(OR(F176&lt;1,F176&gt;5),F176&lt;&gt;0)</formula>
    </cfRule>
    <cfRule type="expression" dxfId="113" priority="6" stopIfTrue="1">
      <formula>AND(J169&gt;0,H176=$T$4)</formula>
    </cfRule>
  </conditionalFormatting>
  <conditionalFormatting sqref="H176">
    <cfRule type="expression" dxfId="112" priority="4">
      <formula>J169&gt;0</formula>
    </cfRule>
  </conditionalFormatting>
  <conditionalFormatting sqref="F276">
    <cfRule type="expression" dxfId="111" priority="2" stopIfTrue="1">
      <formula>AND(OR(F276&lt;1,F276&gt;5),F276&lt;&gt;0)</formula>
    </cfRule>
    <cfRule type="expression" dxfId="110" priority="3" stopIfTrue="1">
      <formula>AND(J269&gt;0,H276=$T$4)</formula>
    </cfRule>
  </conditionalFormatting>
  <conditionalFormatting sqref="H276">
    <cfRule type="expression" dxfId="109" priority="1">
      <formula>J269&gt;0</formula>
    </cfRule>
  </conditionalFormatting>
  <dataValidations count="14">
    <dataValidation type="list" allowBlank="1" showInputMessage="1" sqref="K9 K18 M37 K194 K204 K213 K222 K232 K342 K351 M362 K372 K381 K390">
      <formula1>$C10:$C15</formula1>
    </dataValidation>
    <dataValidation type="list" allowBlank="1" showInputMessage="1" showErrorMessage="1" sqref="F302:F307 F262:F265 F281:F287 F330:F335">
      <formula1>$S$3:$S$4</formula1>
    </dataValidation>
    <dataValidation type="list" allowBlank="1" showInputMessage="1" sqref="F9 F18 F27 F37 F46 F213 F194 F204 F222 F342 F351 F362 F372 F381 F390 F312 F241 F232">
      <formula1>$B10:$B15</formula1>
    </dataValidation>
    <dataValidation type="list" allowBlank="1" showInputMessage="1" showErrorMessage="1" sqref="H176 H257 H327 H61 M61 H298 H123 H79 H276">
      <formula1>$T$3:$T$4</formula1>
    </dataValidation>
    <dataValidation type="list" allowBlank="1" showInputMessage="1" showErrorMessage="1" sqref="F179 F185 F182">
      <formula1>"0,-1"</formula1>
    </dataValidation>
    <dataValidation type="list" allowBlank="1" showInputMessage="1" showErrorMessage="1" sqref="F154:F156 F101 F103 F151:F152 F147 F111:F112 F98 F186 F183 F180:F181">
      <formula1>"0,1"</formula1>
    </dataValidation>
    <dataValidation type="list" allowBlank="1" showInputMessage="1" showErrorMessage="1" sqref="F99 F107:F109 F97 F148:F149">
      <formula1>"0,3"</formula1>
    </dataValidation>
    <dataValidation type="list" allowBlank="1" showInputMessage="1" showErrorMessage="1" sqref="F110 F100 F102 F153 F150 F157">
      <formula1>"0,2"</formula1>
    </dataValidation>
    <dataValidation type="list" allowBlank="1" showInputMessage="1" showErrorMessage="1" sqref="K95:M95 I145:K145">
      <formula1>$V$3:$V$4</formula1>
    </dataValidation>
    <dataValidation type="list" allowBlank="1" showInputMessage="1" showErrorMessage="1" sqref="F82">
      <formula1>"○, "</formula1>
    </dataValidation>
    <dataValidation type="list" allowBlank="1" showInputMessage="1" showErrorMessage="1" sqref="F126:F138 F83:F93 F64:F67 K64:K67">
      <formula1>"○,　"</formula1>
    </dataValidation>
    <dataValidation type="list" allowBlank="1" showInputMessage="1" sqref="K61">
      <formula1>$C$56:$C$61</formula1>
    </dataValidation>
    <dataValidation type="list" allowBlank="1" showInputMessage="1" sqref="F61 F79 F257 F298 F327 F176 F276">
      <formula1>$B56:$B61</formula1>
    </dataValidation>
    <dataValidation type="list" allowBlank="1" showInputMessage="1" sqref="F123">
      <formula1>$B$118:$B$123</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8" manualBreakCount="8">
    <brk id="33" min="2" max="15" man="1"/>
    <brk id="69" min="2" max="15" man="1"/>
    <brk id="114" min="2" max="15" man="1"/>
    <brk id="200" min="2" max="15" man="1"/>
    <brk id="247" min="2" max="15" man="1"/>
    <brk id="289" min="2" max="15" man="1"/>
    <brk id="337" min="2" max="15" man="1"/>
    <brk id="368" min="2"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fitToPage="1"/>
  </sheetPr>
  <dimension ref="B1:U277"/>
  <sheetViews>
    <sheetView showGridLines="0" topLeftCell="A16" zoomScaleNormal="100" zoomScaleSheetLayoutView="100" workbookViewId="0">
      <selection activeCell="G25" sqref="G25"/>
    </sheetView>
  </sheetViews>
  <sheetFormatPr defaultColWidth="0" defaultRowHeight="13" zeroHeight="1"/>
  <cols>
    <col min="1" max="1" width="2.36328125" customWidth="1"/>
    <col min="2" max="2" width="10.26953125" hidden="1" customWidth="1"/>
    <col min="3" max="3" width="3.36328125" hidden="1" customWidth="1"/>
    <col min="4" max="4" width="4.90625" style="2277" customWidth="1"/>
    <col min="5" max="5" width="2.08984375" style="132" customWidth="1"/>
    <col min="6" max="15" width="10.6328125" style="132" customWidth="1"/>
    <col min="16" max="16" width="1.7265625" customWidth="1"/>
    <col min="17" max="17" width="10.08984375" hidden="1" customWidth="1"/>
    <col min="18" max="18" width="16.26953125" hidden="1" customWidth="1"/>
    <col min="19" max="19" width="6.7265625" hidden="1" customWidth="1"/>
    <col min="20" max="20" width="10.26953125" hidden="1" customWidth="1"/>
    <col min="21" max="21" width="13" hidden="1" customWidth="1"/>
  </cols>
  <sheetData>
    <row r="1" spans="2:21" ht="15.5">
      <c r="D1" s="908"/>
      <c r="E1" s="1284"/>
      <c r="F1" s="1285"/>
      <c r="G1" s="1285"/>
      <c r="H1" s="1285"/>
      <c r="I1" s="1285"/>
      <c r="J1" s="1286"/>
      <c r="K1" s="1285"/>
      <c r="L1" s="1285"/>
      <c r="M1" s="905" t="s">
        <v>2697</v>
      </c>
      <c r="N1" s="906" t="str">
        <f>メイン!C11</f>
        <v>○○ビル</v>
      </c>
      <c r="O1" s="907"/>
    </row>
    <row r="2" spans="2:21" ht="16" thickBot="1">
      <c r="D2" s="908"/>
      <c r="E2" s="559"/>
      <c r="F2" s="909"/>
      <c r="G2" s="909"/>
      <c r="H2" s="909"/>
      <c r="I2" s="909"/>
      <c r="J2" s="1287"/>
      <c r="K2" s="909"/>
      <c r="L2" s="909"/>
      <c r="M2" s="909"/>
      <c r="N2" s="909"/>
      <c r="O2" s="909"/>
      <c r="R2" s="2687"/>
      <c r="S2" t="s">
        <v>1335</v>
      </c>
    </row>
    <row r="3" spans="2:21" ht="18.5" thickBot="1">
      <c r="D3" s="1288" t="s">
        <v>2584</v>
      </c>
      <c r="E3" s="1289"/>
      <c r="F3" s="910"/>
      <c r="G3" s="910"/>
      <c r="H3" s="911"/>
      <c r="I3" s="912" t="s">
        <v>2576</v>
      </c>
      <c r="J3" s="1290"/>
      <c r="K3" s="1290"/>
      <c r="L3" s="913"/>
      <c r="M3" s="913"/>
      <c r="N3" s="1290"/>
      <c r="O3" s="1291" t="str">
        <f>IF(メイン!E39=0,"",メイン!E39)</f>
        <v/>
      </c>
      <c r="R3" s="2687" t="s">
        <v>1361</v>
      </c>
      <c r="S3" t="s">
        <v>2585</v>
      </c>
      <c r="T3" t="s">
        <v>3340</v>
      </c>
      <c r="U3" t="str">
        <f>メイン!I37</f>
        <v>基本設計段階</v>
      </c>
    </row>
    <row r="4" spans="2:21" ht="16.5">
      <c r="D4" s="908"/>
      <c r="E4" s="1289"/>
      <c r="F4" s="910"/>
      <c r="G4" s="910"/>
      <c r="H4" s="910"/>
      <c r="I4" s="910"/>
      <c r="J4" s="1292"/>
      <c r="K4" s="910"/>
      <c r="L4" s="910"/>
      <c r="M4" s="910"/>
      <c r="N4" s="910"/>
      <c r="O4" s="910"/>
      <c r="R4">
        <v>0</v>
      </c>
      <c r="T4" t="s">
        <v>3344</v>
      </c>
      <c r="U4" t="str">
        <f>メイン!I38</f>
        <v>実施設計段階</v>
      </c>
    </row>
    <row r="5" spans="2:21" ht="16.5">
      <c r="D5" s="1404">
        <v>1</v>
      </c>
      <c r="E5" s="1143" t="s">
        <v>501</v>
      </c>
      <c r="F5" s="916"/>
      <c r="G5" s="910"/>
      <c r="H5" s="910"/>
      <c r="I5" s="910"/>
      <c r="J5" s="1292"/>
      <c r="K5" s="910"/>
      <c r="L5" s="910"/>
      <c r="M5" s="910"/>
      <c r="N5" s="910"/>
      <c r="O5" s="910"/>
      <c r="R5">
        <v>1</v>
      </c>
      <c r="U5" t="str">
        <f>メイン!I39</f>
        <v>竣工段階</v>
      </c>
    </row>
    <row r="6" spans="2:21" ht="14.5" thickBot="1">
      <c r="D6" s="2280"/>
      <c r="E6" s="1293"/>
      <c r="F6" s="923"/>
      <c r="G6" s="924"/>
      <c r="H6" s="924" t="s">
        <v>1364</v>
      </c>
      <c r="I6" s="1039"/>
      <c r="J6" s="2835" t="e">
        <f>重み!M113</f>
        <v>#DIV/0!</v>
      </c>
      <c r="K6" s="925"/>
      <c r="L6" s="925"/>
      <c r="M6" s="925"/>
      <c r="N6" s="925"/>
      <c r="O6" s="1030"/>
      <c r="P6" s="2687"/>
      <c r="R6">
        <v>2</v>
      </c>
      <c r="S6" t="s">
        <v>2586</v>
      </c>
    </row>
    <row r="7" spans="2:21" ht="27" customHeight="1" thickBot="1">
      <c r="D7" s="1404"/>
      <c r="E7" s="1143"/>
      <c r="F7" s="2051">
        <f>ROUND(IF(H30&lt;=3,1,IF(H30&lt;=6,2,IF(H30&lt;=9,3,IF(H30&lt;=12,4,IF(H30&gt;=13,5))))),0)</f>
        <v>3</v>
      </c>
      <c r="G7" s="1071" t="s">
        <v>502</v>
      </c>
      <c r="H7" s="1052"/>
      <c r="I7" s="1052"/>
      <c r="J7" s="1052"/>
      <c r="K7" s="1052"/>
      <c r="L7" s="1052"/>
      <c r="M7" s="1052"/>
      <c r="N7" s="1052"/>
      <c r="O7" s="1073"/>
      <c r="S7" t="s">
        <v>2587</v>
      </c>
    </row>
    <row r="8" spans="2:21" ht="21" customHeight="1">
      <c r="D8" s="908"/>
      <c r="E8" s="918"/>
      <c r="F8" s="937" t="str">
        <f>IF(ROUNDDOWN($F$7,0)=$S$10,$U$10,$T$10)</f>
        <v>　レベル　1</v>
      </c>
      <c r="G8" s="939" t="s">
        <v>233</v>
      </c>
      <c r="H8" s="940"/>
      <c r="I8" s="940"/>
      <c r="J8" s="940"/>
      <c r="K8" s="940"/>
      <c r="L8" s="940"/>
      <c r="M8" s="940"/>
      <c r="N8" s="940"/>
      <c r="O8" s="941"/>
      <c r="R8" t="s">
        <v>228</v>
      </c>
    </row>
    <row r="9" spans="2:21" ht="21" customHeight="1">
      <c r="D9" s="908"/>
      <c r="E9" s="918"/>
      <c r="F9" s="942" t="str">
        <f>IF(ROUNDDOWN($F$7,0)=$S$11,$U$11,$T$11)</f>
        <v>　レベル　2</v>
      </c>
      <c r="G9" s="946" t="s">
        <v>2588</v>
      </c>
      <c r="H9" s="947"/>
      <c r="I9" s="947"/>
      <c r="J9" s="947"/>
      <c r="K9" s="947"/>
      <c r="L9" s="947"/>
      <c r="M9" s="947"/>
      <c r="N9" s="947"/>
      <c r="O9" s="948"/>
    </row>
    <row r="10" spans="2:21" ht="21" customHeight="1">
      <c r="D10" s="908"/>
      <c r="E10" s="918"/>
      <c r="F10" s="942" t="str">
        <f>IF(ROUNDDOWN($F$7,0)=$S$12,$U$12,$T$12)</f>
        <v>■レベル　3</v>
      </c>
      <c r="G10" s="946" t="s">
        <v>2589</v>
      </c>
      <c r="H10" s="947"/>
      <c r="I10" s="947"/>
      <c r="J10" s="947"/>
      <c r="K10" s="947"/>
      <c r="L10" s="947"/>
      <c r="M10" s="947"/>
      <c r="N10" s="947"/>
      <c r="O10" s="948"/>
      <c r="S10">
        <v>1</v>
      </c>
      <c r="T10" t="s">
        <v>2590</v>
      </c>
      <c r="U10" t="s">
        <v>2591</v>
      </c>
    </row>
    <row r="11" spans="2:21" ht="21" customHeight="1">
      <c r="D11" s="908"/>
      <c r="E11" s="918"/>
      <c r="F11" s="942" t="str">
        <f>IF(ROUNDDOWN($F$7,0)=$S$13,$U$13,$T$13)</f>
        <v>　レベル　4</v>
      </c>
      <c r="G11" s="946" t="s">
        <v>2592</v>
      </c>
      <c r="H11" s="947"/>
      <c r="I11" s="947"/>
      <c r="J11" s="947"/>
      <c r="K11" s="947"/>
      <c r="L11" s="947"/>
      <c r="M11" s="947"/>
      <c r="N11" s="947"/>
      <c r="O11" s="948"/>
      <c r="S11">
        <v>2</v>
      </c>
      <c r="T11" t="s">
        <v>1336</v>
      </c>
      <c r="U11" t="s">
        <v>1337</v>
      </c>
    </row>
    <row r="12" spans="2:21" ht="21" customHeight="1">
      <c r="D12" s="908"/>
      <c r="E12" s="918"/>
      <c r="F12" s="953" t="str">
        <f>IF(ROUNDDOWN($F$7,0)=$S$14,$U$14,$T$14)</f>
        <v>　レベル　5</v>
      </c>
      <c r="G12" s="957" t="s">
        <v>2593</v>
      </c>
      <c r="H12" s="958"/>
      <c r="I12" s="958"/>
      <c r="J12" s="958"/>
      <c r="K12" s="958"/>
      <c r="L12" s="958"/>
      <c r="M12" s="958"/>
      <c r="N12" s="958"/>
      <c r="O12" s="959"/>
      <c r="S12">
        <v>3</v>
      </c>
      <c r="T12" t="s">
        <v>1342</v>
      </c>
      <c r="U12" t="s">
        <v>1343</v>
      </c>
    </row>
    <row r="13" spans="2:21" ht="20.25" customHeight="1">
      <c r="D13" s="908"/>
      <c r="E13" s="918"/>
      <c r="F13" s="1284"/>
      <c r="G13" s="914" t="s">
        <v>2463</v>
      </c>
      <c r="H13" s="909"/>
      <c r="I13" s="1296"/>
      <c r="J13" s="1287"/>
      <c r="K13" s="909"/>
      <c r="L13" s="909"/>
      <c r="M13" s="909"/>
      <c r="N13" s="909"/>
      <c r="O13" s="909"/>
      <c r="S13">
        <v>4</v>
      </c>
      <c r="T13" t="s">
        <v>1221</v>
      </c>
      <c r="U13" t="s">
        <v>1222</v>
      </c>
    </row>
    <row r="14" spans="2:21" ht="16" thickBot="1">
      <c r="D14" s="908"/>
      <c r="E14" s="918"/>
      <c r="F14" s="1284"/>
      <c r="G14" s="1297" t="s">
        <v>234</v>
      </c>
      <c r="H14" s="3339" t="s">
        <v>1755</v>
      </c>
      <c r="I14" s="3340"/>
      <c r="J14" s="3339" t="s">
        <v>1748</v>
      </c>
      <c r="K14" s="3340"/>
      <c r="L14" s="3340"/>
      <c r="M14" s="3340"/>
      <c r="N14" s="3341"/>
      <c r="O14" s="1196" t="s">
        <v>1756</v>
      </c>
      <c r="S14">
        <v>5</v>
      </c>
      <c r="T14" t="s">
        <v>1228</v>
      </c>
      <c r="U14" t="s">
        <v>1229</v>
      </c>
    </row>
    <row r="15" spans="2:21" ht="34.5" customHeight="1">
      <c r="B15" s="1114" t="s">
        <v>235</v>
      </c>
      <c r="D15" s="908"/>
      <c r="E15" s="559"/>
      <c r="F15" s="1284"/>
      <c r="G15" s="2827">
        <v>2</v>
      </c>
      <c r="H15" s="3164" t="s">
        <v>2594</v>
      </c>
      <c r="I15" s="3365"/>
      <c r="J15" s="3358" t="s">
        <v>3347</v>
      </c>
      <c r="K15" s="3358"/>
      <c r="L15" s="3358"/>
      <c r="M15" s="3358"/>
      <c r="N15" s="3359"/>
      <c r="O15" s="1299">
        <v>2</v>
      </c>
      <c r="S15">
        <v>0</v>
      </c>
      <c r="T15" t="s">
        <v>2595</v>
      </c>
      <c r="U15" t="s">
        <v>2595</v>
      </c>
    </row>
    <row r="16" spans="2:21" ht="27" customHeight="1">
      <c r="B16" s="1114"/>
      <c r="D16" s="908"/>
      <c r="E16" s="559"/>
      <c r="F16" s="1284"/>
      <c r="G16" s="2866">
        <v>2</v>
      </c>
      <c r="H16" s="3165" t="s">
        <v>2596</v>
      </c>
      <c r="I16" s="3366"/>
      <c r="J16" s="3148" t="s">
        <v>3348</v>
      </c>
      <c r="K16" s="3165"/>
      <c r="L16" s="3165"/>
      <c r="M16" s="3165"/>
      <c r="N16" s="3192"/>
      <c r="O16" s="1302">
        <v>2</v>
      </c>
    </row>
    <row r="17" spans="4:15" ht="34.5" customHeight="1">
      <c r="D17" s="908"/>
      <c r="E17" s="559"/>
      <c r="F17" s="1284"/>
      <c r="G17" s="3325">
        <v>1</v>
      </c>
      <c r="H17" s="3370" t="s">
        <v>219</v>
      </c>
      <c r="I17" s="3371"/>
      <c r="J17" s="3344" t="s">
        <v>3349</v>
      </c>
      <c r="K17" s="3345"/>
      <c r="L17" s="3345"/>
      <c r="M17" s="3345"/>
      <c r="N17" s="3346"/>
      <c r="O17" s="3367" t="s">
        <v>236</v>
      </c>
    </row>
    <row r="18" spans="4:15" ht="27" customHeight="1">
      <c r="D18" s="908"/>
      <c r="E18" s="559"/>
      <c r="F18" s="1284"/>
      <c r="G18" s="3376"/>
      <c r="H18" s="3372"/>
      <c r="I18" s="3373"/>
      <c r="J18" s="3252" t="s">
        <v>3350</v>
      </c>
      <c r="K18" s="3348"/>
      <c r="L18" s="3348"/>
      <c r="M18" s="3348"/>
      <c r="N18" s="3378"/>
      <c r="O18" s="3368"/>
    </row>
    <row r="19" spans="4:15" ht="27" customHeight="1">
      <c r="D19" s="908"/>
      <c r="E19" s="559"/>
      <c r="F19" s="1284"/>
      <c r="G19" s="3377"/>
      <c r="H19" s="3372"/>
      <c r="I19" s="3373"/>
      <c r="J19" s="3238" t="s">
        <v>1147</v>
      </c>
      <c r="K19" s="3342"/>
      <c r="L19" s="3342"/>
      <c r="M19" s="3342"/>
      <c r="N19" s="3343"/>
      <c r="O19" s="3369"/>
    </row>
    <row r="20" spans="4:15" ht="27" customHeight="1">
      <c r="D20" s="908"/>
      <c r="E20" s="559"/>
      <c r="F20" s="1284"/>
      <c r="G20" s="3325">
        <v>2</v>
      </c>
      <c r="H20" s="3372"/>
      <c r="I20" s="3373"/>
      <c r="J20" s="3344" t="s">
        <v>3346</v>
      </c>
      <c r="K20" s="3345"/>
      <c r="L20" s="3345"/>
      <c r="M20" s="3345"/>
      <c r="N20" s="3346"/>
      <c r="O20" s="3367" t="s">
        <v>237</v>
      </c>
    </row>
    <row r="21" spans="4:15" ht="27" customHeight="1">
      <c r="D21" s="908"/>
      <c r="E21" s="559"/>
      <c r="F21" s="1284"/>
      <c r="G21" s="3377"/>
      <c r="H21" s="3374"/>
      <c r="I21" s="3375"/>
      <c r="J21" s="3238" t="s">
        <v>1148</v>
      </c>
      <c r="K21" s="3342"/>
      <c r="L21" s="3342"/>
      <c r="M21" s="3342"/>
      <c r="N21" s="3343"/>
      <c r="O21" s="3369"/>
    </row>
    <row r="22" spans="4:15" ht="27" customHeight="1">
      <c r="D22" s="908"/>
      <c r="E22" s="559"/>
      <c r="F22" s="1284"/>
      <c r="G22" s="2829">
        <v>0</v>
      </c>
      <c r="H22" s="3345" t="s">
        <v>1149</v>
      </c>
      <c r="I22" s="3347"/>
      <c r="J22" s="3148" t="s">
        <v>3399</v>
      </c>
      <c r="K22" s="3165"/>
      <c r="L22" s="3165"/>
      <c r="M22" s="3165"/>
      <c r="N22" s="3192"/>
      <c r="O22" s="1302">
        <v>1</v>
      </c>
    </row>
    <row r="23" spans="4:15" s="2687" customFormat="1" ht="27" customHeight="1">
      <c r="D23" s="908"/>
      <c r="E23" s="559"/>
      <c r="F23" s="1284"/>
      <c r="G23" s="2829">
        <v>0</v>
      </c>
      <c r="H23" s="3348"/>
      <c r="I23" s="3349"/>
      <c r="J23" s="2864" t="s">
        <v>3400</v>
      </c>
      <c r="K23" s="2860"/>
      <c r="L23" s="2860"/>
      <c r="M23" s="2860"/>
      <c r="N23" s="2859"/>
      <c r="O23" s="1302">
        <v>1</v>
      </c>
    </row>
    <row r="24" spans="4:15" ht="27" customHeight="1">
      <c r="D24" s="908"/>
      <c r="E24" s="559"/>
      <c r="F24" s="1284"/>
      <c r="G24" s="2829">
        <v>0</v>
      </c>
      <c r="H24" s="3350"/>
      <c r="I24" s="3349"/>
      <c r="J24" s="3148" t="s">
        <v>3401</v>
      </c>
      <c r="K24" s="3165"/>
      <c r="L24" s="3165"/>
      <c r="M24" s="3165"/>
      <c r="N24" s="3192"/>
      <c r="O24" s="1302">
        <v>1</v>
      </c>
    </row>
    <row r="25" spans="4:15" ht="27" customHeight="1">
      <c r="D25" s="908"/>
      <c r="E25" s="559"/>
      <c r="F25" s="1284"/>
      <c r="G25" s="2829">
        <v>0</v>
      </c>
      <c r="H25" s="3351"/>
      <c r="I25" s="3352"/>
      <c r="J25" s="3148" t="s">
        <v>3402</v>
      </c>
      <c r="K25" s="3165"/>
      <c r="L25" s="3165"/>
      <c r="M25" s="3165"/>
      <c r="N25" s="3192"/>
      <c r="O25" s="1302">
        <v>1</v>
      </c>
    </row>
    <row r="26" spans="4:15" ht="27" customHeight="1">
      <c r="D26" s="908"/>
      <c r="E26" s="559"/>
      <c r="F26" s="1284"/>
      <c r="G26" s="2829">
        <v>0</v>
      </c>
      <c r="H26" s="3345" t="s">
        <v>1150</v>
      </c>
      <c r="I26" s="3347"/>
      <c r="J26" s="3148" t="s">
        <v>3351</v>
      </c>
      <c r="K26" s="3165"/>
      <c r="L26" s="3165"/>
      <c r="M26" s="3165"/>
      <c r="N26" s="3192"/>
      <c r="O26" s="1302">
        <v>1</v>
      </c>
    </row>
    <row r="27" spans="4:15" ht="27" customHeight="1">
      <c r="D27" s="908"/>
      <c r="E27" s="559"/>
      <c r="F27" s="1284"/>
      <c r="G27" s="2829">
        <v>0</v>
      </c>
      <c r="H27" s="3351"/>
      <c r="I27" s="3352"/>
      <c r="J27" s="3148" t="s">
        <v>3352</v>
      </c>
      <c r="K27" s="3165"/>
      <c r="L27" s="3165"/>
      <c r="M27" s="3165"/>
      <c r="N27" s="3192"/>
      <c r="O27" s="1302">
        <v>1</v>
      </c>
    </row>
    <row r="28" spans="4:15" ht="27" customHeight="1">
      <c r="D28" s="908"/>
      <c r="E28" s="559"/>
      <c r="F28" s="1284"/>
      <c r="G28" s="3325">
        <v>0</v>
      </c>
      <c r="H28" s="3387" t="s">
        <v>2780</v>
      </c>
      <c r="I28" s="3346"/>
      <c r="J28" s="3344" t="s">
        <v>3403</v>
      </c>
      <c r="K28" s="3345"/>
      <c r="L28" s="3345"/>
      <c r="M28" s="3345"/>
      <c r="N28" s="3346"/>
      <c r="O28" s="3367">
        <v>1</v>
      </c>
    </row>
    <row r="29" spans="4:15" s="2687" customFormat="1" ht="27" customHeight="1" thickBot="1">
      <c r="D29" s="908"/>
      <c r="E29" s="559"/>
      <c r="F29" s="1284"/>
      <c r="G29" s="3392"/>
      <c r="H29" s="3244"/>
      <c r="I29" s="3223"/>
      <c r="J29" s="3335"/>
      <c r="K29" s="3336"/>
      <c r="L29" s="3336"/>
      <c r="M29" s="3336"/>
      <c r="N29" s="3337"/>
      <c r="O29" s="3395"/>
    </row>
    <row r="30" spans="4:15" ht="25.5" customHeight="1">
      <c r="D30" s="908"/>
      <c r="E30" s="559"/>
      <c r="F30" s="1284"/>
      <c r="G30" s="2768" t="s">
        <v>2781</v>
      </c>
      <c r="H30" s="1209">
        <f>SUM(G15:G28)</f>
        <v>7</v>
      </c>
      <c r="I30" s="2826" t="s">
        <v>3342</v>
      </c>
      <c r="J30" s="1193"/>
      <c r="K30" s="1194"/>
      <c r="L30" s="1193"/>
      <c r="M30" s="1194"/>
      <c r="N30" s="1193"/>
      <c r="O30" s="1203"/>
    </row>
    <row r="31" spans="4:15" ht="14.25" customHeight="1"/>
    <row r="32" spans="4:15" ht="14.25" customHeight="1">
      <c r="D32" s="1404">
        <v>2</v>
      </c>
      <c r="E32" s="1143" t="s">
        <v>238</v>
      </c>
      <c r="F32" s="916"/>
    </row>
    <row r="33" spans="2:16" ht="14.5" thickBot="1">
      <c r="D33" s="2280"/>
      <c r="E33" s="1293"/>
      <c r="F33" s="923"/>
      <c r="G33" s="924"/>
      <c r="H33" s="924" t="s">
        <v>1364</v>
      </c>
      <c r="I33" s="1039"/>
      <c r="J33" s="2835" t="e">
        <f>重み!M116</f>
        <v>#DIV/0!</v>
      </c>
      <c r="K33" s="925"/>
      <c r="L33" s="925"/>
      <c r="M33" s="925"/>
      <c r="N33" s="925"/>
      <c r="O33" s="1030"/>
      <c r="P33" s="2687"/>
    </row>
    <row r="34" spans="2:16" ht="27" customHeight="1" thickBot="1">
      <c r="D34" s="1404"/>
      <c r="E34" s="1143"/>
      <c r="F34" s="2051">
        <f>IF(H40=T4,F40,ROUND(IF(H51=0,1,IF(H51&lt;=2,2,IF(H51&lt;=3,3,IF(H51&lt;=4,4,IF(H51&gt;=5,5))))),0))</f>
        <v>3</v>
      </c>
      <c r="G34" s="1132" t="s">
        <v>502</v>
      </c>
      <c r="H34" s="1052"/>
      <c r="I34" s="1052"/>
      <c r="J34" s="1052"/>
      <c r="K34" s="1052"/>
      <c r="L34" s="1052"/>
      <c r="M34" s="1052"/>
      <c r="N34" s="1052"/>
      <c r="O34" s="1053"/>
    </row>
    <row r="35" spans="2:16" ht="21" customHeight="1">
      <c r="B35" s="1">
        <v>1</v>
      </c>
      <c r="D35" s="908"/>
      <c r="E35" s="918"/>
      <c r="F35" s="942" t="str">
        <f>IF(ROUNDDOWN($F$34,0)=$S$10,$U$10,$T$10)</f>
        <v>　レベル　1</v>
      </c>
      <c r="G35" s="2093" t="s">
        <v>239</v>
      </c>
      <c r="H35" s="1227"/>
      <c r="I35" s="1227"/>
      <c r="J35" s="1227"/>
      <c r="K35" s="1227"/>
      <c r="L35" s="1227"/>
      <c r="M35" s="1227"/>
      <c r="N35" s="1227"/>
      <c r="O35" s="2735"/>
    </row>
    <row r="36" spans="2:16" ht="21" customHeight="1">
      <c r="B36" s="1">
        <v>2</v>
      </c>
      <c r="D36" s="908"/>
      <c r="E36" s="918"/>
      <c r="F36" s="942" t="str">
        <f>IF(ROUNDDOWN($F$34,0)=$S$11,$U$11,$T$11)</f>
        <v>　レベル　2</v>
      </c>
      <c r="G36" s="2119" t="s">
        <v>2386</v>
      </c>
      <c r="H36" s="1086"/>
      <c r="I36" s="1086"/>
      <c r="J36" s="1086"/>
      <c r="K36" s="1086"/>
      <c r="L36" s="1086"/>
      <c r="M36" s="1086"/>
      <c r="N36" s="1086"/>
      <c r="O36" s="952"/>
    </row>
    <row r="37" spans="2:16" ht="21" customHeight="1">
      <c r="B37" s="1">
        <v>3</v>
      </c>
      <c r="D37" s="908"/>
      <c r="E37" s="918"/>
      <c r="F37" s="942" t="str">
        <f>IF(ROUNDDOWN($F$34,0)=$S$12,$U$12,$T$12)</f>
        <v>■レベル　3</v>
      </c>
      <c r="G37" s="2119" t="s">
        <v>351</v>
      </c>
      <c r="H37" s="1086"/>
      <c r="I37" s="1086"/>
      <c r="J37" s="1086"/>
      <c r="K37" s="1086"/>
      <c r="L37" s="1086"/>
      <c r="M37" s="1086"/>
      <c r="N37" s="1086"/>
      <c r="O37" s="952"/>
    </row>
    <row r="38" spans="2:16" ht="21" customHeight="1">
      <c r="B38" s="1">
        <v>4</v>
      </c>
      <c r="D38" s="908"/>
      <c r="E38" s="918"/>
      <c r="F38" s="942" t="str">
        <f>IF(ROUNDDOWN($F$34,0)=$S$13,$U$13,$T$13)</f>
        <v>　レベル　4</v>
      </c>
      <c r="G38" s="2119" t="s">
        <v>240</v>
      </c>
      <c r="H38" s="1086"/>
      <c r="I38" s="1086"/>
      <c r="J38" s="1086"/>
      <c r="K38" s="1086"/>
      <c r="L38" s="1086"/>
      <c r="M38" s="1086"/>
      <c r="N38" s="1086"/>
      <c r="O38" s="952"/>
    </row>
    <row r="39" spans="2:16" ht="21" customHeight="1" thickBot="1">
      <c r="B39" s="1">
        <v>5</v>
      </c>
      <c r="D39" s="908"/>
      <c r="E39" s="918"/>
      <c r="F39" s="953" t="str">
        <f>IF(ROUNDDOWN($F$34,0)=$S$14,$U$14,$T$14)</f>
        <v>　レベル　5</v>
      </c>
      <c r="G39" s="1443" t="s">
        <v>241</v>
      </c>
      <c r="H39" s="1079"/>
      <c r="I39" s="1079"/>
      <c r="J39" s="1079"/>
      <c r="K39" s="1079"/>
      <c r="L39" s="1079"/>
      <c r="M39" s="1079"/>
      <c r="N39" s="1079"/>
      <c r="O39" s="956"/>
    </row>
    <row r="40" spans="2:16" ht="21.75" customHeight="1" thickBot="1">
      <c r="B40" s="960">
        <v>0</v>
      </c>
      <c r="D40" s="908"/>
      <c r="E40" s="918"/>
      <c r="F40" s="930">
        <v>0</v>
      </c>
      <c r="G40" s="1308" t="s">
        <v>2666</v>
      </c>
      <c r="H40" s="1015" t="s">
        <v>3339</v>
      </c>
      <c r="J40" s="140"/>
      <c r="K40" s="140"/>
      <c r="L40" s="140"/>
      <c r="M40" s="140"/>
      <c r="N40" s="140"/>
      <c r="O40" s="140"/>
    </row>
    <row r="41" spans="2:16" ht="52.5" customHeight="1">
      <c r="D41" s="908"/>
      <c r="E41" s="1169"/>
      <c r="F41" s="1169"/>
      <c r="G41" s="3356" t="s">
        <v>352</v>
      </c>
      <c r="H41" s="3357"/>
      <c r="I41" s="3357"/>
      <c r="J41" s="3357"/>
      <c r="K41" s="3357"/>
      <c r="L41" s="3357"/>
      <c r="M41" s="3357"/>
      <c r="N41" s="3357"/>
      <c r="O41" s="3357"/>
    </row>
    <row r="42" spans="2:16" ht="21" customHeight="1">
      <c r="D42" s="908"/>
      <c r="E42" s="918"/>
      <c r="F42" s="1284"/>
      <c r="G42" s="914" t="s">
        <v>2463</v>
      </c>
      <c r="H42" s="909"/>
      <c r="I42" s="1296"/>
      <c r="J42" s="1287"/>
      <c r="K42" s="909"/>
      <c r="L42" s="909"/>
      <c r="M42" s="909"/>
      <c r="N42" s="909"/>
      <c r="O42" s="909"/>
    </row>
    <row r="43" spans="2:16" ht="25.5" customHeight="1" thickBot="1">
      <c r="D43" s="908"/>
      <c r="E43" s="918"/>
      <c r="F43" s="1284"/>
      <c r="G43" s="1297" t="s">
        <v>234</v>
      </c>
      <c r="H43" s="3339" t="s">
        <v>1755</v>
      </c>
      <c r="I43" s="3340"/>
      <c r="J43" s="3339" t="s">
        <v>1748</v>
      </c>
      <c r="K43" s="3340"/>
      <c r="L43" s="3340"/>
      <c r="M43" s="3340"/>
      <c r="N43" s="3341"/>
      <c r="O43" s="1196" t="s">
        <v>1756</v>
      </c>
    </row>
    <row r="44" spans="2:16" ht="39.75" customHeight="1">
      <c r="D44" s="908"/>
      <c r="E44" s="559"/>
      <c r="F44" s="1284"/>
      <c r="G44" s="1309">
        <v>2</v>
      </c>
      <c r="H44" s="3279" t="s">
        <v>353</v>
      </c>
      <c r="I44" s="3365"/>
      <c r="J44" s="3358" t="s">
        <v>354</v>
      </c>
      <c r="K44" s="3358"/>
      <c r="L44" s="3358"/>
      <c r="M44" s="3358"/>
      <c r="N44" s="3359"/>
      <c r="O44" s="1299">
        <v>2</v>
      </c>
    </row>
    <row r="45" spans="2:16" ht="25.5" customHeight="1">
      <c r="D45" s="908"/>
      <c r="E45" s="559"/>
      <c r="F45" s="1284"/>
      <c r="G45" s="1310">
        <v>1</v>
      </c>
      <c r="H45" s="3260" t="s">
        <v>242</v>
      </c>
      <c r="I45" s="3364"/>
      <c r="J45" s="2119" t="s">
        <v>2387</v>
      </c>
      <c r="K45" s="1086"/>
      <c r="L45" s="1086"/>
      <c r="M45" s="1086"/>
      <c r="N45" s="952"/>
      <c r="O45" s="1302">
        <v>1</v>
      </c>
    </row>
    <row r="46" spans="2:16" ht="39.75" customHeight="1">
      <c r="D46" s="908"/>
      <c r="E46" s="559"/>
      <c r="F46" s="1284"/>
      <c r="G46" s="1310">
        <v>0</v>
      </c>
      <c r="H46" s="3260" t="s">
        <v>2388</v>
      </c>
      <c r="I46" s="3364"/>
      <c r="J46" s="3148" t="s">
        <v>137</v>
      </c>
      <c r="K46" s="3165"/>
      <c r="L46" s="3165"/>
      <c r="M46" s="3165"/>
      <c r="N46" s="3192"/>
      <c r="O46" s="1311">
        <v>1</v>
      </c>
    </row>
    <row r="47" spans="2:16" ht="25.5" customHeight="1">
      <c r="D47" s="908"/>
      <c r="E47" s="559"/>
      <c r="F47" s="1284"/>
      <c r="G47" s="1310">
        <v>0</v>
      </c>
      <c r="H47" s="3260" t="s">
        <v>243</v>
      </c>
      <c r="I47" s="3364"/>
      <c r="J47" s="2119" t="s">
        <v>138</v>
      </c>
      <c r="K47" s="1086"/>
      <c r="L47" s="1086"/>
      <c r="M47" s="1086"/>
      <c r="N47" s="952"/>
      <c r="O47" s="1311">
        <v>1</v>
      </c>
    </row>
    <row r="48" spans="2:16" ht="39.75" customHeight="1">
      <c r="D48" s="908"/>
      <c r="E48" s="559"/>
      <c r="F48" s="1284"/>
      <c r="G48" s="1310">
        <v>0</v>
      </c>
      <c r="H48" s="3260" t="s">
        <v>244</v>
      </c>
      <c r="I48" s="3366"/>
      <c r="J48" s="3148" t="s">
        <v>139</v>
      </c>
      <c r="K48" s="3165"/>
      <c r="L48" s="3165"/>
      <c r="M48" s="3165"/>
      <c r="N48" s="3192"/>
      <c r="O48" s="1311">
        <v>1</v>
      </c>
    </row>
    <row r="49" spans="2:16" ht="25.5" customHeight="1">
      <c r="D49" s="908"/>
      <c r="E49" s="559"/>
      <c r="F49" s="1284"/>
      <c r="G49" s="3297">
        <v>0</v>
      </c>
      <c r="H49" s="3387" t="s">
        <v>245</v>
      </c>
      <c r="I49" s="3388"/>
      <c r="J49" s="1312" t="s">
        <v>140</v>
      </c>
      <c r="K49" s="1304"/>
      <c r="L49" s="1304"/>
      <c r="M49" s="1304"/>
      <c r="N49" s="1305"/>
      <c r="O49" s="3380">
        <v>1</v>
      </c>
    </row>
    <row r="50" spans="2:16" ht="25.5" customHeight="1" thickBot="1">
      <c r="D50" s="908"/>
      <c r="E50" s="559"/>
      <c r="F50" s="1284"/>
      <c r="G50" s="3386"/>
      <c r="H50" s="3389"/>
      <c r="I50" s="3390"/>
      <c r="J50" s="3335"/>
      <c r="K50" s="3336"/>
      <c r="L50" s="3336"/>
      <c r="M50" s="3336"/>
      <c r="N50" s="3337"/>
      <c r="O50" s="3391"/>
    </row>
    <row r="51" spans="2:16" ht="21.75" customHeight="1">
      <c r="D51" s="908"/>
      <c r="E51" s="559"/>
      <c r="F51" s="1284"/>
      <c r="G51" s="2768" t="s">
        <v>141</v>
      </c>
      <c r="H51" s="1209">
        <f>SUM(G44:G50)</f>
        <v>3</v>
      </c>
      <c r="I51" s="2826" t="s">
        <v>3342</v>
      </c>
      <c r="J51" s="1193"/>
      <c r="K51" s="1194"/>
      <c r="L51" s="1193"/>
      <c r="M51" s="1194"/>
      <c r="N51" s="1193"/>
      <c r="O51" s="1203"/>
    </row>
    <row r="52" spans="2:16" ht="15.5">
      <c r="D52" s="908"/>
      <c r="E52" s="913"/>
      <c r="F52" s="1059"/>
      <c r="G52" s="1105"/>
      <c r="H52" s="1105"/>
      <c r="I52" s="1105"/>
      <c r="J52" s="1105"/>
      <c r="K52" s="1105"/>
      <c r="L52" s="1105"/>
      <c r="M52" s="1105"/>
      <c r="N52" s="1105"/>
      <c r="O52" s="1105"/>
    </row>
    <row r="53" spans="2:16" ht="13.5" customHeight="1">
      <c r="D53" s="2281">
        <v>3</v>
      </c>
      <c r="E53" s="1143" t="s">
        <v>246</v>
      </c>
      <c r="F53" s="915"/>
      <c r="G53" s="916"/>
      <c r="H53" s="916"/>
      <c r="I53" s="1314"/>
      <c r="J53" s="916"/>
      <c r="K53" s="916"/>
      <c r="L53" s="916"/>
      <c r="M53" s="916"/>
      <c r="N53" s="916"/>
      <c r="O53" s="916"/>
    </row>
    <row r="54" spans="2:16" ht="13.5" customHeight="1">
      <c r="D54" s="1404">
        <v>3.1</v>
      </c>
      <c r="E54" s="1143" t="s">
        <v>247</v>
      </c>
      <c r="F54" s="916"/>
      <c r="G54" s="916"/>
      <c r="H54" s="916"/>
      <c r="I54" s="1314"/>
      <c r="J54" s="916"/>
      <c r="K54" s="916"/>
      <c r="L54" s="916"/>
      <c r="M54" s="916"/>
      <c r="N54" s="916"/>
      <c r="O54" s="916"/>
    </row>
    <row r="55" spans="2:16" ht="14.5" thickBot="1">
      <c r="B55" t="s">
        <v>778</v>
      </c>
      <c r="D55" s="2280"/>
      <c r="E55" s="1293"/>
      <c r="F55" s="923"/>
      <c r="G55" s="924"/>
      <c r="H55" s="924" t="s">
        <v>1364</v>
      </c>
      <c r="I55" s="1039"/>
      <c r="J55" s="2835" t="e">
        <f>重み!M118</f>
        <v>#DIV/0!</v>
      </c>
      <c r="K55" s="925"/>
      <c r="L55" s="925"/>
      <c r="M55" s="925"/>
      <c r="N55" s="925"/>
      <c r="O55" s="1030"/>
      <c r="P55" s="2687"/>
    </row>
    <row r="56" spans="2:16" ht="27" customHeight="1" thickBot="1">
      <c r="B56" s="1167" t="s">
        <v>2522</v>
      </c>
      <c r="C56" t="s">
        <v>142</v>
      </c>
      <c r="D56" s="908"/>
      <c r="E56" s="918"/>
      <c r="F56" s="2056">
        <f>ROUND(IF(H83&lt;1,1,IF(H83=1,2,IF(H83&lt;=3,3,IF(H83&lt;=4,4,IF(H83&gt;=5,5))))),0)</f>
        <v>3</v>
      </c>
      <c r="G56" s="1132" t="s">
        <v>502</v>
      </c>
      <c r="H56" s="1052"/>
      <c r="I56" s="1052"/>
      <c r="J56" s="1052"/>
      <c r="K56" s="1052"/>
      <c r="L56" s="1052"/>
      <c r="M56" s="1052"/>
      <c r="N56" s="1052"/>
      <c r="O56" s="1053"/>
    </row>
    <row r="57" spans="2:16" ht="21" customHeight="1">
      <c r="D57" s="908"/>
      <c r="E57" s="918"/>
      <c r="F57" s="937" t="str">
        <f>IF(ROUNDDOWN($F$56,0)=$S$10,$U$10,$T$10)</f>
        <v>　レベル　1</v>
      </c>
      <c r="G57" s="939" t="s">
        <v>248</v>
      </c>
      <c r="H57" s="940"/>
      <c r="I57" s="940"/>
      <c r="J57" s="940"/>
      <c r="K57" s="940"/>
      <c r="L57" s="940"/>
      <c r="M57" s="940"/>
      <c r="N57" s="940"/>
      <c r="O57" s="941"/>
    </row>
    <row r="58" spans="2:16" ht="21" customHeight="1">
      <c r="D58" s="908"/>
      <c r="E58" s="918"/>
      <c r="F58" s="942" t="str">
        <f>IF(ROUNDDOWN($F$56,0)=$S$11,$U$11,$T$11)</f>
        <v>　レベル　2</v>
      </c>
      <c r="G58" s="946" t="s">
        <v>249</v>
      </c>
      <c r="H58" s="947"/>
      <c r="I58" s="947"/>
      <c r="J58" s="947"/>
      <c r="K58" s="947"/>
      <c r="L58" s="947"/>
      <c r="M58" s="947"/>
      <c r="N58" s="947"/>
      <c r="O58" s="948"/>
    </row>
    <row r="59" spans="2:16" ht="21" customHeight="1">
      <c r="D59" s="908"/>
      <c r="E59" s="918"/>
      <c r="F59" s="942" t="str">
        <f>IF(ROUNDDOWN($F$56,0)=$S$12,$U$12,$T$12)</f>
        <v>■レベル　3</v>
      </c>
      <c r="G59" s="946" t="s">
        <v>1075</v>
      </c>
      <c r="H59" s="947"/>
      <c r="I59" s="947"/>
      <c r="J59" s="947"/>
      <c r="K59" s="947"/>
      <c r="L59" s="947"/>
      <c r="M59" s="947"/>
      <c r="N59" s="947"/>
      <c r="O59" s="948"/>
    </row>
    <row r="60" spans="2:16" ht="21" customHeight="1">
      <c r="D60" s="908"/>
      <c r="E60" s="918"/>
      <c r="F60" s="942" t="str">
        <f>IF(ROUNDDOWN($F$56,0)=$S$13,$U$13,$T$13)</f>
        <v>　レベル　4</v>
      </c>
      <c r="G60" s="946" t="s">
        <v>1076</v>
      </c>
      <c r="H60" s="947"/>
      <c r="I60" s="947"/>
      <c r="J60" s="947"/>
      <c r="K60" s="947"/>
      <c r="L60" s="947"/>
      <c r="M60" s="947"/>
      <c r="N60" s="947"/>
      <c r="O60" s="948"/>
    </row>
    <row r="61" spans="2:16" ht="21" customHeight="1">
      <c r="D61" s="908"/>
      <c r="E61" s="918"/>
      <c r="F61" s="953" t="str">
        <f>IF(ROUNDDOWN($F$56,0)=$S$14,$U$14,$T$14)</f>
        <v>　レベル　5</v>
      </c>
      <c r="G61" s="957" t="s">
        <v>1077</v>
      </c>
      <c r="H61" s="958"/>
      <c r="I61" s="958"/>
      <c r="J61" s="958"/>
      <c r="K61" s="958"/>
      <c r="L61" s="958"/>
      <c r="M61" s="958"/>
      <c r="N61" s="958"/>
      <c r="O61" s="959"/>
    </row>
    <row r="62" spans="2:16" ht="23.25" customHeight="1">
      <c r="D62" s="908"/>
      <c r="E62" s="918"/>
      <c r="F62" s="1284"/>
      <c r="G62" s="914" t="s">
        <v>2463</v>
      </c>
      <c r="H62" s="909"/>
      <c r="I62" s="1296"/>
      <c r="J62" s="1287"/>
      <c r="K62" s="909"/>
      <c r="L62" s="909"/>
      <c r="M62" s="909"/>
      <c r="N62" s="909"/>
      <c r="O62" s="909"/>
    </row>
    <row r="63" spans="2:16" ht="28.5" customHeight="1" thickBot="1">
      <c r="D63" s="908"/>
      <c r="E63" s="918"/>
      <c r="F63" s="1284"/>
      <c r="G63" s="1297" t="s">
        <v>234</v>
      </c>
      <c r="H63" s="3339" t="s">
        <v>1755</v>
      </c>
      <c r="I63" s="3340"/>
      <c r="J63" s="3339" t="s">
        <v>1748</v>
      </c>
      <c r="K63" s="3340"/>
      <c r="L63" s="3340"/>
      <c r="M63" s="3340"/>
      <c r="N63" s="3341"/>
      <c r="O63" s="1196" t="s">
        <v>1756</v>
      </c>
    </row>
    <row r="64" spans="2:16" ht="48" customHeight="1">
      <c r="D64" s="908"/>
      <c r="E64" s="559"/>
      <c r="F64" s="1284"/>
      <c r="G64" s="2831">
        <v>1</v>
      </c>
      <c r="H64" s="3360" t="s">
        <v>3404</v>
      </c>
      <c r="I64" s="3361"/>
      <c r="J64" s="3144" t="s">
        <v>143</v>
      </c>
      <c r="K64" s="3164"/>
      <c r="L64" s="3164"/>
      <c r="M64" s="3164"/>
      <c r="N64" s="3150"/>
      <c r="O64" s="1315">
        <v>1</v>
      </c>
    </row>
    <row r="65" spans="2:15" ht="57.75" customHeight="1">
      <c r="D65" s="908"/>
      <c r="E65" s="559"/>
      <c r="F65" s="1284"/>
      <c r="G65" s="2829">
        <v>1</v>
      </c>
      <c r="H65" s="3362"/>
      <c r="I65" s="3363"/>
      <c r="J65" s="3344" t="s">
        <v>1078</v>
      </c>
      <c r="K65" s="3345"/>
      <c r="L65" s="3345"/>
      <c r="M65" s="3345"/>
      <c r="N65" s="3346"/>
      <c r="O65" s="1313">
        <v>1</v>
      </c>
    </row>
    <row r="66" spans="2:15" ht="15.75" customHeight="1">
      <c r="D66" s="908"/>
      <c r="E66" s="559"/>
      <c r="F66" s="1284"/>
      <c r="G66" s="3325">
        <v>1</v>
      </c>
      <c r="H66" s="3327" t="s">
        <v>3405</v>
      </c>
      <c r="I66" s="3353"/>
      <c r="J66" s="3344" t="s">
        <v>666</v>
      </c>
      <c r="K66" s="3345"/>
      <c r="L66" s="3345"/>
      <c r="M66" s="3345"/>
      <c r="N66" s="3346"/>
      <c r="O66" s="3380">
        <v>1</v>
      </c>
    </row>
    <row r="67" spans="2:15" ht="42.75" customHeight="1">
      <c r="D67" s="908"/>
      <c r="E67" s="559"/>
      <c r="F67" s="1284"/>
      <c r="G67" s="3379"/>
      <c r="H67" s="3329"/>
      <c r="I67" s="3354"/>
      <c r="J67" s="3252" t="s">
        <v>667</v>
      </c>
      <c r="K67" s="3348"/>
      <c r="L67" s="3348"/>
      <c r="M67" s="3348"/>
      <c r="N67" s="3378"/>
      <c r="O67" s="3381"/>
    </row>
    <row r="68" spans="2:15" ht="31.5" customHeight="1">
      <c r="D68" s="908"/>
      <c r="E68" s="559"/>
      <c r="F68" s="1284"/>
      <c r="G68" s="3326"/>
      <c r="H68" s="3329"/>
      <c r="I68" s="3354"/>
      <c r="J68" s="3252" t="s">
        <v>668</v>
      </c>
      <c r="K68" s="3348"/>
      <c r="L68" s="3348"/>
      <c r="M68" s="3348"/>
      <c r="N68" s="3378"/>
      <c r="O68" s="3382"/>
    </row>
    <row r="69" spans="2:15" ht="52.5" customHeight="1">
      <c r="D69" s="908"/>
      <c r="E69" s="559"/>
      <c r="F69" s="1284"/>
      <c r="G69" s="3325">
        <v>0</v>
      </c>
      <c r="H69" s="3329"/>
      <c r="I69" s="3354"/>
      <c r="J69" s="3148" t="s">
        <v>669</v>
      </c>
      <c r="K69" s="3165"/>
      <c r="L69" s="3165"/>
      <c r="M69" s="3165"/>
      <c r="N69" s="3192"/>
      <c r="O69" s="1317">
        <v>1</v>
      </c>
    </row>
    <row r="70" spans="2:15" ht="34.5" hidden="1" customHeight="1">
      <c r="D70" s="908"/>
      <c r="E70" s="559"/>
      <c r="F70" s="1284"/>
      <c r="G70" s="3326"/>
      <c r="H70" s="3331"/>
      <c r="I70" s="3355"/>
      <c r="J70" s="1303" t="s">
        <v>670</v>
      </c>
      <c r="K70" s="1304"/>
      <c r="L70" s="1304"/>
      <c r="M70" s="1304"/>
      <c r="N70" s="1305"/>
      <c r="O70" s="1316"/>
    </row>
    <row r="71" spans="2:15" ht="20.25" customHeight="1">
      <c r="D71" s="908"/>
      <c r="E71" s="559"/>
      <c r="F71" s="1284"/>
      <c r="G71" s="3325">
        <v>0</v>
      </c>
      <c r="H71" s="3327" t="s">
        <v>3406</v>
      </c>
      <c r="I71" s="3328"/>
      <c r="J71" s="3344" t="s">
        <v>671</v>
      </c>
      <c r="K71" s="3345"/>
      <c r="L71" s="3345"/>
      <c r="M71" s="3345"/>
      <c r="N71" s="3346"/>
      <c r="O71" s="3380">
        <v>1</v>
      </c>
    </row>
    <row r="72" spans="2:15" ht="55.5" customHeight="1">
      <c r="D72" s="908"/>
      <c r="E72" s="559"/>
      <c r="F72" s="1284"/>
      <c r="G72" s="3379"/>
      <c r="H72" s="3329"/>
      <c r="I72" s="3330"/>
      <c r="J72" s="3252" t="s">
        <v>1196</v>
      </c>
      <c r="K72" s="3348"/>
      <c r="L72" s="3348"/>
      <c r="M72" s="3348"/>
      <c r="N72" s="3378"/>
      <c r="O72" s="3381"/>
    </row>
    <row r="73" spans="2:15" ht="46.5" customHeight="1">
      <c r="D73" s="908"/>
      <c r="E73" s="559"/>
      <c r="F73" s="1284"/>
      <c r="G73" s="3326"/>
      <c r="H73" s="3331"/>
      <c r="I73" s="3332"/>
      <c r="J73" s="3238" t="s">
        <v>1197</v>
      </c>
      <c r="K73" s="3342"/>
      <c r="L73" s="3342"/>
      <c r="M73" s="3342"/>
      <c r="N73" s="3343"/>
      <c r="O73" s="3382"/>
    </row>
    <row r="74" spans="2:15" ht="23.25" customHeight="1">
      <c r="D74" s="908"/>
      <c r="E74" s="559"/>
      <c r="F74" s="1284"/>
      <c r="G74" s="3325">
        <v>0</v>
      </c>
      <c r="H74" s="3327" t="s">
        <v>2123</v>
      </c>
      <c r="I74" s="3328"/>
      <c r="J74" s="3344" t="s">
        <v>1198</v>
      </c>
      <c r="K74" s="3345"/>
      <c r="L74" s="3345"/>
      <c r="M74" s="3345"/>
      <c r="N74" s="3346"/>
      <c r="O74" s="3383">
        <v>1</v>
      </c>
    </row>
    <row r="75" spans="2:15" ht="48" customHeight="1">
      <c r="D75" s="908"/>
      <c r="E75" s="559"/>
      <c r="F75" s="1284"/>
      <c r="G75" s="3379"/>
      <c r="H75" s="3329"/>
      <c r="I75" s="3330"/>
      <c r="J75" s="3252" t="s">
        <v>1199</v>
      </c>
      <c r="K75" s="3348"/>
      <c r="L75" s="3348"/>
      <c r="M75" s="3348"/>
      <c r="N75" s="3378"/>
      <c r="O75" s="3384"/>
    </row>
    <row r="76" spans="2:15" ht="46.5" customHeight="1">
      <c r="D76" s="908"/>
      <c r="E76" s="559"/>
      <c r="F76" s="1284"/>
      <c r="G76" s="3379"/>
      <c r="H76" s="3329"/>
      <c r="I76" s="3330"/>
      <c r="J76" s="3252" t="s">
        <v>1200</v>
      </c>
      <c r="K76" s="3348"/>
      <c r="L76" s="3348"/>
      <c r="M76" s="3348"/>
      <c r="N76" s="3378"/>
      <c r="O76" s="3384"/>
    </row>
    <row r="77" spans="2:15" ht="45.75" customHeight="1">
      <c r="D77" s="908"/>
      <c r="E77" s="559"/>
      <c r="F77" s="1284"/>
      <c r="G77" s="3379"/>
      <c r="H77" s="3331"/>
      <c r="I77" s="3332"/>
      <c r="J77" s="3238" t="s">
        <v>1201</v>
      </c>
      <c r="K77" s="3342"/>
      <c r="L77" s="3342"/>
      <c r="M77" s="3342"/>
      <c r="N77" s="3343"/>
      <c r="O77" s="3385"/>
    </row>
    <row r="78" spans="2:15" ht="15.75" hidden="1" customHeight="1">
      <c r="B78" s="1114" t="s">
        <v>2124</v>
      </c>
      <c r="D78" s="908"/>
      <c r="E78" s="559"/>
      <c r="F78" s="1284"/>
      <c r="G78" s="2829">
        <v>0</v>
      </c>
      <c r="H78" s="3396" t="s">
        <v>2125</v>
      </c>
      <c r="I78" s="3397"/>
      <c r="J78" s="3148" t="s">
        <v>2126</v>
      </c>
      <c r="K78" s="3165"/>
      <c r="L78" s="3165"/>
      <c r="M78" s="3165"/>
      <c r="N78" s="3192"/>
      <c r="O78" s="1318">
        <v>1</v>
      </c>
    </row>
    <row r="79" spans="2:15" ht="44.25" customHeight="1">
      <c r="D79" s="908"/>
      <c r="E79" s="559"/>
      <c r="F79" s="1284"/>
      <c r="G79" s="3325">
        <v>0</v>
      </c>
      <c r="H79" s="3327" t="s">
        <v>2127</v>
      </c>
      <c r="I79" s="3328"/>
      <c r="J79" s="3344" t="s">
        <v>2693</v>
      </c>
      <c r="K79" s="3345"/>
      <c r="L79" s="3345"/>
      <c r="M79" s="3345"/>
      <c r="N79" s="3346"/>
      <c r="O79" s="1202">
        <v>1</v>
      </c>
    </row>
    <row r="80" spans="2:15" ht="45" customHeight="1">
      <c r="D80" s="908"/>
      <c r="E80" s="559"/>
      <c r="F80" s="1284"/>
      <c r="G80" s="3326"/>
      <c r="H80" s="3331"/>
      <c r="I80" s="3332"/>
      <c r="J80" s="3238" t="s">
        <v>2694</v>
      </c>
      <c r="K80" s="3342"/>
      <c r="L80" s="3342"/>
      <c r="M80" s="3342"/>
      <c r="N80" s="3343"/>
      <c r="O80" s="1319"/>
    </row>
    <row r="81" spans="2:15" ht="15.75" customHeight="1">
      <c r="D81" s="908"/>
      <c r="E81" s="559"/>
      <c r="F81" s="1284"/>
      <c r="G81" s="3325">
        <v>0</v>
      </c>
      <c r="H81" s="3329" t="s">
        <v>2695</v>
      </c>
      <c r="I81" s="3330"/>
      <c r="J81" s="3252" t="s">
        <v>2568</v>
      </c>
      <c r="K81" s="3348"/>
      <c r="L81" s="3348"/>
      <c r="M81" s="3348"/>
      <c r="N81" s="3378"/>
      <c r="O81" s="3333">
        <v>1</v>
      </c>
    </row>
    <row r="82" spans="2:15" ht="27" customHeight="1" thickBot="1">
      <c r="D82" s="908"/>
      <c r="E82" s="559"/>
      <c r="F82" s="1284"/>
      <c r="G82" s="3392"/>
      <c r="H82" s="3393"/>
      <c r="I82" s="3394"/>
      <c r="J82" s="3335"/>
      <c r="K82" s="3336"/>
      <c r="L82" s="3336"/>
      <c r="M82" s="3336"/>
      <c r="N82" s="3337"/>
      <c r="O82" s="3334"/>
    </row>
    <row r="83" spans="2:15" ht="29.25" customHeight="1">
      <c r="D83" s="908"/>
      <c r="E83" s="559"/>
      <c r="F83" s="1284"/>
      <c r="G83" s="2768" t="s">
        <v>1309</v>
      </c>
      <c r="H83" s="1209">
        <f>SUM(G64:G82)</f>
        <v>3</v>
      </c>
      <c r="I83" s="2826" t="s">
        <v>3342</v>
      </c>
      <c r="J83" s="1193"/>
      <c r="K83" s="1194"/>
      <c r="L83" s="1193"/>
      <c r="M83" s="1194"/>
      <c r="N83" s="1193"/>
      <c r="O83" s="1203"/>
    </row>
    <row r="84" spans="2:15" ht="21.75" customHeight="1">
      <c r="D84" s="908"/>
      <c r="E84" s="559"/>
      <c r="F84" s="909"/>
      <c r="G84" s="909"/>
      <c r="H84" s="909"/>
      <c r="I84" s="909"/>
      <c r="J84" s="1287"/>
      <c r="K84" s="909"/>
      <c r="L84" s="909"/>
      <c r="M84" s="909"/>
      <c r="N84" s="909"/>
      <c r="O84" s="909"/>
    </row>
    <row r="85" spans="2:15" ht="21.75" customHeight="1">
      <c r="D85" s="1404">
        <v>3.2</v>
      </c>
      <c r="E85" s="1143" t="s">
        <v>2569</v>
      </c>
      <c r="F85" s="916"/>
      <c r="G85" s="909"/>
      <c r="H85" s="909"/>
      <c r="I85" s="909"/>
      <c r="J85" s="1287"/>
      <c r="K85" s="909"/>
      <c r="L85" s="909"/>
      <c r="M85" s="909"/>
      <c r="N85" s="909"/>
      <c r="O85" s="909"/>
    </row>
    <row r="86" spans="2:15" ht="13.5" thickBot="1">
      <c r="D86" s="913"/>
      <c r="E86" s="559"/>
      <c r="F86" s="923"/>
      <c r="G86" s="924"/>
      <c r="H86" s="924"/>
      <c r="I86" s="1039" t="s">
        <v>1364</v>
      </c>
      <c r="J86" s="2835" t="e">
        <f>重み!M119</f>
        <v>#DIV/0!</v>
      </c>
      <c r="K86" s="925"/>
      <c r="L86" s="925"/>
      <c r="M86" s="925"/>
      <c r="N86" s="925"/>
      <c r="O86" s="1030"/>
    </row>
    <row r="87" spans="2:15" ht="27" customHeight="1" thickBot="1">
      <c r="D87" s="908"/>
      <c r="E87" s="918"/>
      <c r="F87" s="2056">
        <f>IF(H93=T4,F93,ROUND(IF(H111=0,1,IF(H111&lt;=5,2,IF(H111&lt;=11,3,IF(H111&lt;=17,4,IF(H111&gt;=18,5))))),0))</f>
        <v>3</v>
      </c>
      <c r="G87" s="1132" t="s">
        <v>502</v>
      </c>
      <c r="H87" s="1052"/>
      <c r="I87" s="1052"/>
      <c r="J87" s="1052"/>
      <c r="K87" s="1052"/>
      <c r="L87" s="1052"/>
      <c r="M87" s="1052"/>
      <c r="N87" s="1052"/>
      <c r="O87" s="1053"/>
    </row>
    <row r="88" spans="2:15" ht="21" customHeight="1">
      <c r="B88" s="1">
        <v>1</v>
      </c>
      <c r="D88" s="908"/>
      <c r="E88" s="918"/>
      <c r="F88" s="937" t="str">
        <f>IF(ROUNDDOWN($F$87,0)=$S$10,$U$10,$T$10)</f>
        <v>　レベル　1</v>
      </c>
      <c r="G88" s="3144" t="s">
        <v>2128</v>
      </c>
      <c r="H88" s="3164"/>
      <c r="I88" s="3164"/>
      <c r="J88" s="3164"/>
      <c r="K88" s="3164"/>
      <c r="L88" s="3164"/>
      <c r="M88" s="3164"/>
      <c r="N88" s="3164"/>
      <c r="O88" s="3150"/>
    </row>
    <row r="89" spans="2:15" ht="21" customHeight="1">
      <c r="B89" s="1">
        <v>2</v>
      </c>
      <c r="D89" s="908"/>
      <c r="E89" s="918"/>
      <c r="F89" s="942" t="str">
        <f>IF(ROUNDDOWN($F$87,0)=$S$11,$U$11,$T$11)</f>
        <v>　レベル　2</v>
      </c>
      <c r="G89" s="3148" t="s">
        <v>2129</v>
      </c>
      <c r="H89" s="3165"/>
      <c r="I89" s="3165"/>
      <c r="J89" s="3165"/>
      <c r="K89" s="3165"/>
      <c r="L89" s="3165"/>
      <c r="M89" s="3165"/>
      <c r="N89" s="3165"/>
      <c r="O89" s="3192"/>
    </row>
    <row r="90" spans="2:15" ht="21" customHeight="1">
      <c r="B90" s="1">
        <v>3</v>
      </c>
      <c r="D90" s="908"/>
      <c r="E90" s="918"/>
      <c r="F90" s="942" t="str">
        <f>IF(ROUNDDOWN($F$87,0)=$S$12,$U$12,$T$12)</f>
        <v>■レベル　3</v>
      </c>
      <c r="G90" s="3148" t="s">
        <v>2130</v>
      </c>
      <c r="H90" s="3165"/>
      <c r="I90" s="3165"/>
      <c r="J90" s="3165"/>
      <c r="K90" s="3165"/>
      <c r="L90" s="3165"/>
      <c r="M90" s="3165"/>
      <c r="N90" s="3165"/>
      <c r="O90" s="3192"/>
    </row>
    <row r="91" spans="2:15" ht="21" customHeight="1">
      <c r="B91" s="1">
        <v>4</v>
      </c>
      <c r="D91" s="908"/>
      <c r="E91" s="918"/>
      <c r="F91" s="942" t="str">
        <f>IF(ROUNDDOWN($F$87,0)=$S$13,$U$13,$T$13)</f>
        <v>　レベル　4</v>
      </c>
      <c r="G91" s="3148" t="s">
        <v>2131</v>
      </c>
      <c r="H91" s="3165"/>
      <c r="I91" s="3165"/>
      <c r="J91" s="3165"/>
      <c r="K91" s="3165"/>
      <c r="L91" s="3165"/>
      <c r="M91" s="3165"/>
      <c r="N91" s="3165"/>
      <c r="O91" s="3192"/>
    </row>
    <row r="92" spans="2:15" ht="21" customHeight="1">
      <c r="B92" s="1">
        <v>5</v>
      </c>
      <c r="D92" s="908"/>
      <c r="E92" s="918"/>
      <c r="F92" s="953" t="str">
        <f>IF(ROUNDDOWN($F$87,0)=$S$14,$U$14,$T$14)</f>
        <v>　レベル　5</v>
      </c>
      <c r="G92" s="3146" t="s">
        <v>1327</v>
      </c>
      <c r="H92" s="3170"/>
      <c r="I92" s="3170"/>
      <c r="J92" s="3170"/>
      <c r="K92" s="3170"/>
      <c r="L92" s="3170"/>
      <c r="M92" s="3170"/>
      <c r="N92" s="3170"/>
      <c r="O92" s="3176"/>
    </row>
    <row r="93" spans="2:15" s="2687" customFormat="1" ht="16.5" hidden="1" customHeight="1" thickBot="1">
      <c r="B93" s="960">
        <v>0</v>
      </c>
      <c r="D93" s="908"/>
      <c r="E93" s="918"/>
      <c r="F93" s="930">
        <v>0</v>
      </c>
      <c r="G93" s="1158" t="s">
        <v>2666</v>
      </c>
      <c r="H93" s="1015" t="s">
        <v>3339</v>
      </c>
      <c r="I93"/>
      <c r="J93"/>
      <c r="K93"/>
      <c r="L93"/>
      <c r="M93"/>
      <c r="N93"/>
      <c r="O93"/>
    </row>
    <row r="94" spans="2:15">
      <c r="D94" s="913"/>
      <c r="E94" s="559"/>
      <c r="F94" s="559"/>
      <c r="G94" s="1295" t="s">
        <v>422</v>
      </c>
      <c r="H94" s="559"/>
      <c r="I94"/>
      <c r="J94"/>
      <c r="K94"/>
      <c r="L94"/>
      <c r="M94"/>
      <c r="N94"/>
      <c r="O94"/>
    </row>
    <row r="95" spans="2:15" ht="25.5" customHeight="1" thickBot="1">
      <c r="D95" s="908"/>
      <c r="E95" s="559"/>
      <c r="F95" s="1284"/>
      <c r="G95" s="1297" t="s">
        <v>234</v>
      </c>
      <c r="H95" s="3339" t="s">
        <v>1755</v>
      </c>
      <c r="I95" s="3340"/>
      <c r="J95" s="3339" t="s">
        <v>1748</v>
      </c>
      <c r="K95" s="3340"/>
      <c r="L95" s="3340"/>
      <c r="M95" s="3340"/>
      <c r="N95" s="3341"/>
      <c r="O95" s="1196" t="s">
        <v>1756</v>
      </c>
    </row>
    <row r="96" spans="2:15" ht="36" customHeight="1">
      <c r="G96" s="2832">
        <v>2</v>
      </c>
      <c r="H96" s="3327" t="s">
        <v>2570</v>
      </c>
      <c r="I96" s="3328"/>
      <c r="J96" s="3144" t="s">
        <v>3353</v>
      </c>
      <c r="K96" s="3164"/>
      <c r="L96" s="3164"/>
      <c r="M96" s="3164"/>
      <c r="N96" s="3150"/>
      <c r="O96" s="1315">
        <v>2</v>
      </c>
    </row>
    <row r="97" spans="4:15" ht="30.75" customHeight="1">
      <c r="G97" s="3325">
        <v>3</v>
      </c>
      <c r="H97" s="3329"/>
      <c r="I97" s="3330"/>
      <c r="J97" s="3344" t="s">
        <v>3354</v>
      </c>
      <c r="K97" s="3345"/>
      <c r="L97" s="3345"/>
      <c r="M97" s="3345"/>
      <c r="N97" s="3346"/>
      <c r="O97" s="3338" t="s">
        <v>236</v>
      </c>
    </row>
    <row r="98" spans="4:15" ht="57.75" customHeight="1">
      <c r="G98" s="3326"/>
      <c r="H98" s="3329"/>
      <c r="I98" s="3330"/>
      <c r="J98" s="3238" t="s">
        <v>2095</v>
      </c>
      <c r="K98" s="3342"/>
      <c r="L98" s="3342"/>
      <c r="M98" s="3342"/>
      <c r="N98" s="3343"/>
      <c r="O98" s="3338"/>
    </row>
    <row r="99" spans="4:15" ht="28.5" customHeight="1">
      <c r="G99" s="3325">
        <v>1</v>
      </c>
      <c r="H99" s="3327" t="s">
        <v>2096</v>
      </c>
      <c r="I99" s="3328"/>
      <c r="J99" s="3344" t="s">
        <v>3355</v>
      </c>
      <c r="K99" s="3345"/>
      <c r="L99" s="3345"/>
      <c r="M99" s="3345"/>
      <c r="N99" s="3346"/>
      <c r="O99" s="3338" t="s">
        <v>236</v>
      </c>
    </row>
    <row r="100" spans="4:15" ht="57.75" customHeight="1">
      <c r="G100" s="3326"/>
      <c r="H100" s="3331"/>
      <c r="I100" s="3332"/>
      <c r="J100" s="3238" t="s">
        <v>2097</v>
      </c>
      <c r="K100" s="3342"/>
      <c r="L100" s="3342"/>
      <c r="M100" s="3342"/>
      <c r="N100" s="3343"/>
      <c r="O100" s="3338"/>
    </row>
    <row r="101" spans="4:15" ht="30.75" customHeight="1">
      <c r="G101" s="3325">
        <v>0</v>
      </c>
      <c r="H101" s="3327" t="s">
        <v>2098</v>
      </c>
      <c r="I101" s="3328"/>
      <c r="J101" s="3344" t="s">
        <v>3356</v>
      </c>
      <c r="K101" s="3345"/>
      <c r="L101" s="3345"/>
      <c r="M101" s="3345"/>
      <c r="N101" s="3346"/>
      <c r="O101" s="3338" t="s">
        <v>236</v>
      </c>
    </row>
    <row r="102" spans="4:15" ht="57.75" customHeight="1">
      <c r="G102" s="3326"/>
      <c r="H102" s="3329"/>
      <c r="I102" s="3330"/>
      <c r="J102" s="3238" t="s">
        <v>1205</v>
      </c>
      <c r="K102" s="3342"/>
      <c r="L102" s="3342"/>
      <c r="M102" s="3342"/>
      <c r="N102" s="3343"/>
      <c r="O102" s="3338"/>
    </row>
    <row r="103" spans="4:15" ht="19.5" customHeight="1">
      <c r="G103" s="3325">
        <v>0</v>
      </c>
      <c r="H103" s="3329"/>
      <c r="I103" s="3330"/>
      <c r="J103" s="3344" t="s">
        <v>3357</v>
      </c>
      <c r="K103" s="3345"/>
      <c r="L103" s="3345"/>
      <c r="M103" s="3345"/>
      <c r="N103" s="3346"/>
      <c r="O103" s="3338" t="s">
        <v>236</v>
      </c>
    </row>
    <row r="104" spans="4:15" ht="57.75" customHeight="1">
      <c r="G104" s="3326"/>
      <c r="H104" s="3331"/>
      <c r="I104" s="3332"/>
      <c r="J104" s="3238" t="s">
        <v>2099</v>
      </c>
      <c r="K104" s="3342"/>
      <c r="L104" s="3342"/>
      <c r="M104" s="3342"/>
      <c r="N104" s="3343"/>
      <c r="O104" s="3338"/>
    </row>
    <row r="105" spans="4:15" ht="15.75" customHeight="1">
      <c r="G105" s="3325">
        <v>0</v>
      </c>
      <c r="H105" s="3327" t="s">
        <v>2100</v>
      </c>
      <c r="I105" s="3328"/>
      <c r="J105" s="3344" t="s">
        <v>3358</v>
      </c>
      <c r="K105" s="3345"/>
      <c r="L105" s="3345"/>
      <c r="M105" s="3345"/>
      <c r="N105" s="3346"/>
      <c r="O105" s="3338" t="s">
        <v>1328</v>
      </c>
    </row>
    <row r="106" spans="4:15" ht="33.75" customHeight="1">
      <c r="G106" s="3326"/>
      <c r="H106" s="3329"/>
      <c r="I106" s="3330"/>
      <c r="J106" s="3238" t="s">
        <v>2136</v>
      </c>
      <c r="K106" s="3342"/>
      <c r="L106" s="3342"/>
      <c r="M106" s="3342"/>
      <c r="N106" s="3343"/>
      <c r="O106" s="3338"/>
    </row>
    <row r="107" spans="4:15" ht="15.75" customHeight="1">
      <c r="G107" s="3325">
        <v>0</v>
      </c>
      <c r="H107" s="3329"/>
      <c r="I107" s="3330"/>
      <c r="J107" s="3344" t="s">
        <v>3359</v>
      </c>
      <c r="K107" s="3345"/>
      <c r="L107" s="3345"/>
      <c r="M107" s="3345"/>
      <c r="N107" s="3346"/>
      <c r="O107" s="3338" t="s">
        <v>236</v>
      </c>
    </row>
    <row r="108" spans="4:15" ht="49.5" customHeight="1">
      <c r="G108" s="3326"/>
      <c r="H108" s="3331"/>
      <c r="I108" s="3332"/>
      <c r="J108" s="3238" t="s">
        <v>986</v>
      </c>
      <c r="K108" s="3342"/>
      <c r="L108" s="3342"/>
      <c r="M108" s="3342"/>
      <c r="N108" s="3343"/>
      <c r="O108" s="3338"/>
    </row>
    <row r="109" spans="4:15" ht="82.5" customHeight="1">
      <c r="G109" s="2828">
        <v>0</v>
      </c>
      <c r="H109" s="3327" t="s">
        <v>987</v>
      </c>
      <c r="I109" s="3328"/>
      <c r="J109" s="3148" t="s">
        <v>3360</v>
      </c>
      <c r="K109" s="3165"/>
      <c r="L109" s="3165"/>
      <c r="M109" s="3165"/>
      <c r="N109" s="3192"/>
      <c r="O109" s="1320" t="s">
        <v>2505</v>
      </c>
    </row>
    <row r="110" spans="4:15" ht="87" customHeight="1" thickBot="1">
      <c r="G110" s="2830">
        <v>0</v>
      </c>
      <c r="H110" s="3331"/>
      <c r="I110" s="3332"/>
      <c r="J110" s="3238" t="s">
        <v>3361</v>
      </c>
      <c r="K110" s="3342"/>
      <c r="L110" s="3342"/>
      <c r="M110" s="3342"/>
      <c r="N110" s="3343"/>
      <c r="O110" s="1321" t="s">
        <v>2505</v>
      </c>
    </row>
    <row r="111" spans="4:15" ht="21" customHeight="1">
      <c r="D111" s="908"/>
      <c r="E111" s="1284"/>
      <c r="F111" s="1285"/>
      <c r="G111" s="2768" t="s">
        <v>141</v>
      </c>
      <c r="H111" s="1209">
        <f>SUM(G96:G110)</f>
        <v>6</v>
      </c>
      <c r="I111" s="2826" t="s">
        <v>3342</v>
      </c>
      <c r="J111" s="1193"/>
      <c r="K111" s="1194"/>
      <c r="L111" s="1193"/>
      <c r="M111" s="1194"/>
      <c r="N111" s="1193"/>
      <c r="O111" s="1203"/>
    </row>
    <row r="112" spans="4:15"/>
    <row r="113" ht="13.5" hidden="1" customHeight="1"/>
    <row r="114" ht="13.5" hidden="1" customHeight="1"/>
    <row r="115" ht="13.5" hidden="1" customHeight="1"/>
    <row r="116" ht="13.5" hidden="1" customHeight="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row r="277"/>
  </sheetData>
  <sheetProtection algorithmName="SHA-512" hashValue="3x9W7og2rErbRP53w8lG5cUOqkDnXap3AOEEGTmtM+xhTtdeEPI8sNIp21L/8iqSfz7eaUuyYIqqrD412ek2dA==" saltValue="sNskOHxNYvUwKOo4yueKEw==" spinCount="100000" sheet="1" objects="1" scenarios="1"/>
  <mergeCells count="119">
    <mergeCell ref="J29:N29"/>
    <mergeCell ref="G28:G29"/>
    <mergeCell ref="H28:I29"/>
    <mergeCell ref="O28:O29"/>
    <mergeCell ref="H109:I110"/>
    <mergeCell ref="J105:N105"/>
    <mergeCell ref="J106:N106"/>
    <mergeCell ref="J107:N107"/>
    <mergeCell ref="J108:N108"/>
    <mergeCell ref="J110:N110"/>
    <mergeCell ref="O66:O68"/>
    <mergeCell ref="J67:N67"/>
    <mergeCell ref="J68:N68"/>
    <mergeCell ref="J69:N69"/>
    <mergeCell ref="H78:I78"/>
    <mergeCell ref="J78:N78"/>
    <mergeCell ref="O99:O100"/>
    <mergeCell ref="G89:O89"/>
    <mergeCell ref="G90:O90"/>
    <mergeCell ref="G91:O91"/>
    <mergeCell ref="G92:O92"/>
    <mergeCell ref="O97:O98"/>
    <mergeCell ref="H96:I98"/>
    <mergeCell ref="J109:N109"/>
    <mergeCell ref="H48:I48"/>
    <mergeCell ref="H45:I45"/>
    <mergeCell ref="G49:G50"/>
    <mergeCell ref="H49:I50"/>
    <mergeCell ref="O49:O50"/>
    <mergeCell ref="J50:N50"/>
    <mergeCell ref="G81:G82"/>
    <mergeCell ref="H81:I82"/>
    <mergeCell ref="J81:N81"/>
    <mergeCell ref="G101:G102"/>
    <mergeCell ref="G71:G73"/>
    <mergeCell ref="H71:I73"/>
    <mergeCell ref="J71:N71"/>
    <mergeCell ref="G66:G68"/>
    <mergeCell ref="J66:N66"/>
    <mergeCell ref="O71:O73"/>
    <mergeCell ref="J72:N72"/>
    <mergeCell ref="J73:N73"/>
    <mergeCell ref="G74:G77"/>
    <mergeCell ref="H74:I77"/>
    <mergeCell ref="J75:N75"/>
    <mergeCell ref="J76:N76"/>
    <mergeCell ref="J77:N77"/>
    <mergeCell ref="G79:G80"/>
    <mergeCell ref="H79:I80"/>
    <mergeCell ref="J79:N79"/>
    <mergeCell ref="J80:N80"/>
    <mergeCell ref="G88:O88"/>
    <mergeCell ref="H99:I100"/>
    <mergeCell ref="J74:N74"/>
    <mergeCell ref="O74:O77"/>
    <mergeCell ref="H14:I14"/>
    <mergeCell ref="J14:N14"/>
    <mergeCell ref="H15:I15"/>
    <mergeCell ref="H16:I16"/>
    <mergeCell ref="O17:O19"/>
    <mergeCell ref="J15:N15"/>
    <mergeCell ref="J16:N16"/>
    <mergeCell ref="H17:I21"/>
    <mergeCell ref="G17:G19"/>
    <mergeCell ref="G20:G21"/>
    <mergeCell ref="J20:N20"/>
    <mergeCell ref="J21:N21"/>
    <mergeCell ref="J17:N17"/>
    <mergeCell ref="J18:N18"/>
    <mergeCell ref="J19:N19"/>
    <mergeCell ref="O20:O21"/>
    <mergeCell ref="H22:I25"/>
    <mergeCell ref="J26:N26"/>
    <mergeCell ref="G69:G70"/>
    <mergeCell ref="H66:I70"/>
    <mergeCell ref="J24:N24"/>
    <mergeCell ref="H43:I43"/>
    <mergeCell ref="J43:N43"/>
    <mergeCell ref="G41:O41"/>
    <mergeCell ref="J22:N22"/>
    <mergeCell ref="H26:I27"/>
    <mergeCell ref="J25:N25"/>
    <mergeCell ref="J28:N28"/>
    <mergeCell ref="J44:N44"/>
    <mergeCell ref="H63:I63"/>
    <mergeCell ref="J63:N63"/>
    <mergeCell ref="H64:I65"/>
    <mergeCell ref="J64:N64"/>
    <mergeCell ref="J65:N65"/>
    <mergeCell ref="J48:N48"/>
    <mergeCell ref="J27:N27"/>
    <mergeCell ref="H46:I46"/>
    <mergeCell ref="J46:N46"/>
    <mergeCell ref="H47:I47"/>
    <mergeCell ref="H44:I44"/>
    <mergeCell ref="G105:G106"/>
    <mergeCell ref="G107:G108"/>
    <mergeCell ref="G103:G104"/>
    <mergeCell ref="H105:I108"/>
    <mergeCell ref="O81:O82"/>
    <mergeCell ref="J82:N82"/>
    <mergeCell ref="O105:O106"/>
    <mergeCell ref="O107:O108"/>
    <mergeCell ref="H95:I95"/>
    <mergeCell ref="J95:N95"/>
    <mergeCell ref="J96:N96"/>
    <mergeCell ref="J100:N100"/>
    <mergeCell ref="H101:I104"/>
    <mergeCell ref="J102:N102"/>
    <mergeCell ref="J103:N103"/>
    <mergeCell ref="J104:N104"/>
    <mergeCell ref="J101:N101"/>
    <mergeCell ref="J97:N97"/>
    <mergeCell ref="O103:O104"/>
    <mergeCell ref="O101:O102"/>
    <mergeCell ref="J98:N98"/>
    <mergeCell ref="J99:N99"/>
    <mergeCell ref="G97:G98"/>
    <mergeCell ref="G99:G100"/>
  </mergeCells>
  <phoneticPr fontId="22"/>
  <conditionalFormatting sqref="G20 G15:G17 G22:G28">
    <cfRule type="expression" dxfId="108" priority="166" stopIfTrue="1">
      <formula>$J$6&gt;0</formula>
    </cfRule>
  </conditionalFormatting>
  <conditionalFormatting sqref="F40 F93">
    <cfRule type="expression" dxfId="107" priority="167" stopIfTrue="1">
      <formula>AND(OR(F40&lt;1,F40&gt;5),F40&lt;&gt;0)</formula>
    </cfRule>
    <cfRule type="expression" dxfId="106" priority="168" stopIfTrue="1">
      <formula>AND($J33&gt;0,$H40=$T$4)</formula>
    </cfRule>
  </conditionalFormatting>
  <conditionalFormatting sqref="H40">
    <cfRule type="expression" dxfId="105" priority="8">
      <formula>$J33&gt;0</formula>
    </cfRule>
  </conditionalFormatting>
  <conditionalFormatting sqref="H93">
    <cfRule type="expression" dxfId="104" priority="7">
      <formula>$J86&gt;0</formula>
    </cfRule>
  </conditionalFormatting>
  <conditionalFormatting sqref="G44:G50">
    <cfRule type="expression" dxfId="103" priority="6">
      <formula>AND($J$33&gt;0,$H$40=$T$3)</formula>
    </cfRule>
  </conditionalFormatting>
  <conditionalFormatting sqref="J50:N50">
    <cfRule type="expression" dxfId="102" priority="5">
      <formula>$G49&gt;0</formula>
    </cfRule>
  </conditionalFormatting>
  <conditionalFormatting sqref="J82:N82">
    <cfRule type="expression" dxfId="101" priority="4">
      <formula>$G81&gt;0</formula>
    </cfRule>
  </conditionalFormatting>
  <conditionalFormatting sqref="G64:G82">
    <cfRule type="expression" dxfId="100" priority="3">
      <formula>$J$55&gt;0</formula>
    </cfRule>
  </conditionalFormatting>
  <conditionalFormatting sqref="G96:G110">
    <cfRule type="expression" dxfId="99" priority="2">
      <formula>AND($J$86&gt;0,$H$93=$T$3)</formula>
    </cfRule>
  </conditionalFormatting>
  <conditionalFormatting sqref="J29:N29">
    <cfRule type="expression" dxfId="98" priority="1">
      <formula>$G28&gt;0</formula>
    </cfRule>
  </conditionalFormatting>
  <dataValidations xWindow="204" yWindow="530" count="8">
    <dataValidation type="list" allowBlank="1" showInputMessage="1" showErrorMessage="1" sqref="G20 G109:G110">
      <formula1>"0,1,2"</formula1>
    </dataValidation>
    <dataValidation type="list" allowBlank="1" showInputMessage="1" showErrorMessage="1" sqref="G17:G19 G97:G104 G107:G108">
      <formula1>"0,1,2,3"</formula1>
    </dataValidation>
    <dataValidation type="list" allowBlank="1" showInputMessage="1" showErrorMessage="1" sqref="G81 G74 G71 G69 G45:G50 G64:G66 G78:G79 G22:G28">
      <formula1>"0,1"</formula1>
    </dataValidation>
    <dataValidation type="list" allowBlank="1" showInputMessage="1" showErrorMessage="1" sqref="G15:G16 G44 G96">
      <formula1>"0,2"</formula1>
    </dataValidation>
    <dataValidation type="list" allowBlank="1" showInputMessage="1" showErrorMessage="1" sqref="H40 H93">
      <formula1>$T$3:$T$4</formula1>
    </dataValidation>
    <dataValidation type="list" allowBlank="1" showInputMessage="1" showErrorMessage="1" sqref="G105:G106">
      <formula1>"0,2,3"</formula1>
    </dataValidation>
    <dataValidation type="list" allowBlank="1" showInputMessage="1" sqref="F93">
      <formula1>$B$88:$B$93</formula1>
    </dataValidation>
    <dataValidation type="list" allowBlank="1" showInputMessage="1" sqref="F40">
      <formula1>$B$35:$B$40</formula1>
    </dataValidation>
  </dataValidations>
  <printOptions horizontalCentered="1"/>
  <pageMargins left="0.59055118110236227" right="0.59055118110236227" top="0.78740157480314965" bottom="0.59055118110236227" header="0.51181102362204722" footer="0.51181102362204722"/>
  <pageSetup paperSize="9" scale="78" fitToHeight="0" orientation="portrait" verticalDpi="4294967293" r:id="rId1"/>
  <headerFooter alignWithMargins="0">
    <oddHeader>&amp;L&amp;F&amp;R&amp;A</oddHeader>
    <oddFooter>&amp;C&amp;P/&amp;N</oddFooter>
  </headerFooter>
  <rowBreaks count="3" manualBreakCount="3">
    <brk id="31" max="16383" man="1"/>
    <brk id="52" max="16383" man="1"/>
    <brk id="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結果_IS</vt:lpstr>
      <vt:lpstr>メイン</vt:lpstr>
      <vt:lpstr>結果</vt:lpstr>
      <vt:lpstr>スコア</vt:lpstr>
      <vt:lpstr>配慮</vt:lpstr>
      <vt:lpstr>係数</vt:lpstr>
      <vt:lpstr>採点Q1</vt:lpstr>
      <vt:lpstr>採点Q2</vt:lpstr>
      <vt:lpstr>採点Q3</vt:lpstr>
      <vt:lpstr>採点LR1</vt:lpstr>
      <vt:lpstr>計画書</vt:lpstr>
      <vt:lpstr>採点LR2</vt:lpstr>
      <vt:lpstr>採点LR3</vt:lpstr>
      <vt:lpstr>CO2計算</vt:lpstr>
      <vt:lpstr>条件(標準)</vt:lpstr>
      <vt:lpstr>条件(個別)</vt:lpstr>
      <vt:lpstr>重み</vt:lpstr>
      <vt:lpstr>CO2データ</vt:lpstr>
      <vt:lpstr>クレジット</vt:lpstr>
      <vt:lpstr>CO2データ!Print_Area</vt:lpstr>
      <vt:lpstr>CO2計算!Print_Area</vt:lpstr>
      <vt:lpstr>クレジット!Print_Area</vt:lpstr>
      <vt:lpstr>スコア!Print_Area</vt:lpstr>
      <vt:lpstr>メイン!Print_Area</vt:lpstr>
      <vt:lpstr>係数!Print_Area</vt:lpstr>
      <vt:lpstr>計画書!Print_Area</vt:lpstr>
      <vt:lpstr>結果!Print_Area</vt:lpstr>
      <vt:lpstr>結果_IS!Print_Area</vt:lpstr>
      <vt:lpstr>採点LR1!Print_Area</vt:lpstr>
      <vt:lpstr>採点LR2!Print_Area</vt:lpstr>
      <vt:lpstr>採点LR3!Print_Area</vt:lpstr>
      <vt:lpstr>採点Q1!Print_Area</vt:lpstr>
      <vt:lpstr>採点Q2!Print_Area</vt:lpstr>
      <vt:lpstr>採点Q3!Print_Area</vt:lpstr>
      <vt:lpstr>重み!Print_Area</vt:lpstr>
      <vt:lpstr>'条件(個別)'!Print_Area</vt:lpstr>
      <vt:lpstr>重み!Print_Titles</vt:lpstr>
    </vt:vector>
  </TitlesOfParts>
  <Company>株式会社日建設計</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user</cp:lastModifiedBy>
  <cp:lastPrinted>2019-07-16T01:14:21Z</cp:lastPrinted>
  <dcterms:created xsi:type="dcterms:W3CDTF">2010-08-30T05:31:56Z</dcterms:created>
  <dcterms:modified xsi:type="dcterms:W3CDTF">2020-07-30T06:23:00Z</dcterms:modified>
</cp:coreProperties>
</file>